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2580" windowWidth="17640" windowHeight="11370" activeTab="1"/>
  </bookViews>
  <sheets>
    <sheet name="зап.час-ремонт-штрафы и т.п" sheetId="1" r:id="rId1"/>
    <sheet name="Топливо" sheetId="2" r:id="rId2"/>
    <sheet name="регламент" sheetId="3" r:id="rId3"/>
    <sheet name="Авария" sheetId="4" r:id="rId4"/>
  </sheets>
  <definedNames/>
  <calcPr fullCalcOnLoad="1"/>
</workbook>
</file>

<file path=xl/comments3.xml><?xml version="1.0" encoding="utf-8"?>
<comments xmlns="http://schemas.openxmlformats.org/spreadsheetml/2006/main">
  <authors>
    <author>TVA</author>
  </authors>
  <commentList>
    <comment ref="B25" authorId="0">
      <text>
        <r>
          <rPr>
            <b/>
            <sz val="8"/>
            <rFont val="Tahoma"/>
            <family val="0"/>
          </rPr>
          <t>TVA:</t>
        </r>
        <r>
          <rPr>
            <sz val="8"/>
            <rFont val="Tahoma"/>
            <family val="0"/>
          </rPr>
          <t xml:space="preserve">
фары за ~1500рублей! 20-5730-08-6B 
http://www.kapot.ru/autoparts/6271/index.html
адрес: 141001, Московская область, г. Мытищи, ул.Силикатная д. 39 Ж 
телефоны оптовой торговли: (495) 788-85-38; (495) 747-68-34; (495) 746-06-85; 
телефон розничной торговли (495) 792-51-34 </t>
        </r>
      </text>
    </comment>
  </commentList>
</comments>
</file>

<file path=xl/sharedStrings.xml><?xml version="1.0" encoding="utf-8"?>
<sst xmlns="http://schemas.openxmlformats.org/spreadsheetml/2006/main" count="181" uniqueCount="130">
  <si>
    <t>км.</t>
  </si>
  <si>
    <t>Зап.часть или услуга.</t>
  </si>
  <si>
    <t>расход топлива л/100км.</t>
  </si>
  <si>
    <t>Примечание (общую статистику смотри в конце таблицы)</t>
  </si>
  <si>
    <t xml:space="preserve">Пробег. </t>
  </si>
  <si>
    <t xml:space="preserve">Дата. </t>
  </si>
  <si>
    <t xml:space="preserve"> = заправка до полного бака.</t>
  </si>
  <si>
    <t>Дата</t>
  </si>
  <si>
    <t>Литры</t>
  </si>
  <si>
    <t>Средний расход.</t>
  </si>
  <si>
    <t>всего залито литров</t>
  </si>
  <si>
    <t>стоимость горючего на 1 км пробега $</t>
  </si>
  <si>
    <t>Наименование</t>
  </si>
  <si>
    <t>коллличество</t>
  </si>
  <si>
    <t>N</t>
  </si>
  <si>
    <t>$</t>
  </si>
  <si>
    <t>Стоимость  /руб</t>
  </si>
  <si>
    <t>Стоимость /$</t>
  </si>
  <si>
    <t>справка счет</t>
  </si>
  <si>
    <t>ОСАГА</t>
  </si>
  <si>
    <t>Постановка на учет</t>
  </si>
  <si>
    <t>руб.</t>
  </si>
  <si>
    <t>Стоимость машины</t>
  </si>
  <si>
    <t>курс $</t>
  </si>
  <si>
    <t>Дополнительно потрачено</t>
  </si>
  <si>
    <t xml:space="preserve">руб. всего денег на бензин </t>
  </si>
  <si>
    <t xml:space="preserve">$ всего денег на бензин </t>
  </si>
  <si>
    <t>стоимость горючего на 1 км пробега руб</t>
  </si>
  <si>
    <t>Всего:</t>
  </si>
  <si>
    <t>Стоимость одного км пробега:</t>
  </si>
  <si>
    <t>Обьекты обслуживания</t>
  </si>
  <si>
    <t xml:space="preserve">Зазоры в клапанах 40 - - </t>
  </si>
  <si>
    <t xml:space="preserve">Ремни привода навесных агрегатов 20 60 - </t>
  </si>
  <si>
    <t xml:space="preserve">Моторное масло - 10 *2 </t>
  </si>
  <si>
    <t xml:space="preserve">Маслянный фильтр - 10 *2 </t>
  </si>
  <si>
    <t xml:space="preserve">Охлаждающая жидкость - 40 - </t>
  </si>
  <si>
    <t xml:space="preserve">Свечи зажигания 10 20 - </t>
  </si>
  <si>
    <t xml:space="preserve">Топливный фильтр (впрыск, бензин) - 40 - </t>
  </si>
  <si>
    <t xml:space="preserve">Воздушный фильтр 20 40 *2,*3 </t>
  </si>
  <si>
    <t xml:space="preserve">Тормозная жидкость 10 40 - </t>
  </si>
  <si>
    <t xml:space="preserve">Рабочая жидкость для рулевого управления 10 - - </t>
  </si>
  <si>
    <t xml:space="preserve">Рабочая жидкость АКПП 20 60 *2 </t>
  </si>
  <si>
    <t>x</t>
  </si>
  <si>
    <t>Резинки к дворникам, лампочки</t>
  </si>
  <si>
    <t>Лампочки повернул - подправил свет</t>
  </si>
  <si>
    <t>Сигнализация+установка</t>
  </si>
  <si>
    <t>www.e-vovik.ru</t>
  </si>
  <si>
    <t>81150-52021</t>
  </si>
  <si>
    <t>81110-52021</t>
  </si>
  <si>
    <t>Фара передняя, правая</t>
  </si>
  <si>
    <t>Фара передняя левая ~2500руб</t>
  </si>
  <si>
    <t>Аварийный комплект (аптечка, трос, знак, огнетушитель)</t>
  </si>
  <si>
    <t>Метро КК</t>
  </si>
  <si>
    <t>Огнетушитель 2л</t>
  </si>
  <si>
    <t>ГТО ПИК</t>
  </si>
  <si>
    <t>На Смольной</t>
  </si>
  <si>
    <t>Незамерзайка 8л</t>
  </si>
  <si>
    <t>Зимние шины, диски и шиномонтаж</t>
  </si>
  <si>
    <t>Замена летних колес на зимние</t>
  </si>
  <si>
    <t>Замена зимних колес на летние</t>
  </si>
  <si>
    <t>Штраф и др.</t>
  </si>
  <si>
    <t>Дворник 53см</t>
  </si>
  <si>
    <t>61602-52010</t>
  </si>
  <si>
    <t> Крыло заднее левое</t>
  </si>
  <si>
    <t>3 </t>
  </si>
  <si>
    <t>61622-52010</t>
  </si>
  <si>
    <t> Trough, luggage compartment opening, lh</t>
  </si>
  <si>
    <t>5 </t>
  </si>
  <si>
    <t>Платсик подкрылка</t>
  </si>
  <si>
    <t>61746-52010</t>
  </si>
  <si>
    <t>Кусок подкрылка</t>
  </si>
  <si>
    <t>61626-52010</t>
  </si>
  <si>
    <t>61608-52914</t>
  </si>
  <si>
    <t>Не очень понятна комплектность</t>
  </si>
  <si>
    <t>58311-52010</t>
  </si>
  <si>
    <t>58307-52010</t>
  </si>
  <si>
    <t>52592-52010</t>
  </si>
  <si>
    <t>52159-52020-J0</t>
  </si>
  <si>
    <t>Крашеный стоит 22т.руб.</t>
  </si>
  <si>
    <t>57802-52010</t>
  </si>
  <si>
    <t>64740-52020-H0</t>
  </si>
  <si>
    <t>11 </t>
  </si>
  <si>
    <t>Пластик изнутри багажника</t>
  </si>
  <si>
    <t>9 332,92</t>
  </si>
  <si>
    <t>Reinforcement, back door opening, lower lh</t>
  </si>
  <si>
    <t>Удлинитель quarter panel задн. lh</t>
  </si>
  <si>
    <t>Панель - боковина колёсн. арки внутр. лев</t>
  </si>
  <si>
    <t>Пластина пола, задняя</t>
  </si>
  <si>
    <t>Панель кузова, сбор. комплект, нижняя, задн</t>
  </si>
  <si>
    <t>Защита заднего бампера левая</t>
  </si>
  <si>
    <t>Накладка заднего бампера</t>
  </si>
  <si>
    <t>Member, rear floor side, rear lh</t>
  </si>
  <si>
    <t>Накладка deck trim side lh</t>
  </si>
  <si>
    <t>Сумма</t>
  </si>
  <si>
    <t>76626-52050</t>
  </si>
  <si>
    <t> Брызговик заднего левого крыла (сбор. компл.)</t>
  </si>
  <si>
    <t>81560-52120</t>
  </si>
  <si>
    <t> Фонарь задний</t>
  </si>
  <si>
    <t>Фильтр воздушный, масляный и ремень привода генератора</t>
  </si>
  <si>
    <t>autoleo.ru</t>
  </si>
  <si>
    <t>Масло ESSO 5W40 4L</t>
  </si>
  <si>
    <t>Замена масла и воздушного фильтра</t>
  </si>
  <si>
    <t>Ремонт витца после аварии</t>
  </si>
  <si>
    <t>Обнинск-авто, реально ремонт обошелся 39500р.</t>
  </si>
  <si>
    <t>Шиномонтаж</t>
  </si>
  <si>
    <t>Дворники 360+530мм</t>
  </si>
  <si>
    <t>exist.ru</t>
  </si>
  <si>
    <t>Межсервисный пробег, км</t>
  </si>
  <si>
    <t>Дополнительный стоп и рамка для номера + установка (самостоятельно)</t>
  </si>
  <si>
    <t>Купил на Кунцевском рынке</t>
  </si>
  <si>
    <t>Всего пробег</t>
  </si>
  <si>
    <t>Росгосстрах</t>
  </si>
  <si>
    <t>Расширенная ОСАГО до 600 000руб.</t>
  </si>
  <si>
    <t>Брызговики для Витца</t>
  </si>
  <si>
    <t>Лмпочки для подсветки номера (светодиодные)</t>
  </si>
  <si>
    <t>Штраф</t>
  </si>
  <si>
    <t>Незамерзайка 4л</t>
  </si>
  <si>
    <t>Дворник 550мм</t>
  </si>
  <si>
    <t>Свечи и масляный фильтр</t>
  </si>
  <si>
    <t>Замена масла и свечей</t>
  </si>
  <si>
    <t>Замена лобового стекла</t>
  </si>
  <si>
    <t>Кунцевский рынок 1-42, тел.9265215</t>
  </si>
  <si>
    <t xml:space="preserve">Фильтр салонный </t>
  </si>
  <si>
    <t>Рамка для номера и 2 лампочки(светодиодные)</t>
  </si>
  <si>
    <t>Оплата за гараж</t>
  </si>
  <si>
    <t>Мойка</t>
  </si>
  <si>
    <t>Техосмотр</t>
  </si>
  <si>
    <t>Колёса Yokogama A.Drive и шиномонтаж</t>
  </si>
  <si>
    <t>Ашан</t>
  </si>
  <si>
    <t>Продажа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</si>
</sst>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/d"/>
    <numFmt numFmtId="168" formatCode="d\-mmm\-yy"/>
    <numFmt numFmtId="169" formatCode="[$$-409]#,##0.00"/>
    <numFmt numFmtId="170" formatCode="d\-mmm\-yyyy"/>
    <numFmt numFmtId="171" formatCode="[$-FC19]d\ mmmm\ yyyy\ &quot;г.&quot;"/>
    <numFmt numFmtId="172" formatCode="[$-419]mmmm;@"/>
    <numFmt numFmtId="173" formatCode="[$-419]mmmm\ yyyy;@"/>
    <numFmt numFmtId="174" formatCode="#,##0&quot;р.&quot;"/>
    <numFmt numFmtId="175" formatCode="#,##0_р_.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&quot;р.&quot;"/>
    <numFmt numFmtId="181" formatCode="mmm/yyyy"/>
    <numFmt numFmtId="182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sz val="8"/>
      <name val="Arial Cyr"/>
      <family val="2"/>
    </font>
    <font>
      <b/>
      <sz val="8"/>
      <color indexed="12"/>
      <name val="Arial Cyr"/>
      <family val="2"/>
    </font>
    <font>
      <strike/>
      <sz val="8"/>
      <name val="Arial CYR"/>
      <family val="2"/>
    </font>
    <font>
      <b/>
      <sz val="10"/>
      <name val="Arial Cyr"/>
      <family val="0"/>
    </font>
    <font>
      <strike/>
      <sz val="8"/>
      <name val="Arial Cyr"/>
      <family val="0"/>
    </font>
    <font>
      <sz val="11"/>
      <name val="Arial"/>
      <family val="0"/>
    </font>
    <font>
      <b/>
      <sz val="14"/>
      <name val="Arial"/>
      <family val="0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1"/>
      <name val="Arial Cyr"/>
      <family val="0"/>
    </font>
    <font>
      <sz val="8"/>
      <color indexed="8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8"/>
      <name val="Tahoma"/>
      <family val="2"/>
    </font>
    <font>
      <b/>
      <i/>
      <sz val="10"/>
      <color indexed="10"/>
      <name val="Arial Cyr"/>
      <family val="0"/>
    </font>
    <font>
      <sz val="10"/>
      <color indexed="55"/>
      <name val="Arial Cyr"/>
      <family val="0"/>
    </font>
    <font>
      <sz val="10"/>
      <color indexed="2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169" fontId="4" fillId="0" borderId="1" xfId="0" applyNumberFormat="1" applyFont="1" applyBorder="1" applyAlignment="1">
      <alignment wrapText="1"/>
    </xf>
    <xf numFmtId="169" fontId="2" fillId="0" borderId="1" xfId="0" applyNumberFormat="1" applyFont="1" applyBorder="1" applyAlignment="1">
      <alignment wrapText="1"/>
    </xf>
    <xf numFmtId="170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169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9" fontId="2" fillId="2" borderId="1" xfId="0" applyNumberFormat="1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0" fillId="3" borderId="0" xfId="0" applyFill="1" applyAlignment="1">
      <alignment/>
    </xf>
    <xf numFmtId="0" fontId="7" fillId="0" borderId="0" xfId="0" applyFont="1" applyFill="1" applyBorder="1" applyAlignment="1">
      <alignment/>
    </xf>
    <xf numFmtId="0" fontId="6" fillId="0" borderId="3" xfId="0" applyFont="1" applyBorder="1" applyAlignment="1">
      <alignment/>
    </xf>
    <xf numFmtId="0" fontId="0" fillId="0" borderId="1" xfId="0" applyBorder="1" applyAlignment="1">
      <alignment/>
    </xf>
    <xf numFmtId="49" fontId="2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2" fontId="0" fillId="0" borderId="0" xfId="0" applyNumberFormat="1" applyAlignment="1">
      <alignment/>
    </xf>
    <xf numFmtId="175" fontId="0" fillId="0" borderId="1" xfId="0" applyNumberForma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" fontId="2" fillId="0" borderId="0" xfId="0" applyNumberFormat="1" applyFont="1" applyAlignment="1">
      <alignment/>
    </xf>
    <xf numFmtId="169" fontId="2" fillId="0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/>
    </xf>
    <xf numFmtId="169" fontId="8" fillId="0" borderId="1" xfId="0" applyNumberFormat="1" applyFont="1" applyBorder="1" applyAlignment="1">
      <alignment wrapText="1"/>
    </xf>
    <xf numFmtId="170" fontId="8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170" fontId="2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169" fontId="4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1" fillId="0" borderId="1" xfId="15" applyFill="1" applyBorder="1" applyAlignment="1">
      <alignment wrapText="1"/>
    </xf>
    <xf numFmtId="169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4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3" xfId="0" applyFill="1" applyBorder="1" applyAlignment="1">
      <alignment/>
    </xf>
    <xf numFmtId="175" fontId="0" fillId="0" borderId="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4" xfId="0" applyFill="1" applyBorder="1" applyAlignment="1">
      <alignment/>
    </xf>
    <xf numFmtId="180" fontId="2" fillId="0" borderId="0" xfId="0" applyNumberFormat="1" applyFont="1" applyAlignment="1">
      <alignment/>
    </xf>
    <xf numFmtId="2" fontId="4" fillId="0" borderId="1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180" fontId="4" fillId="0" borderId="1" xfId="0" applyNumberFormat="1" applyFont="1" applyBorder="1" applyAlignment="1">
      <alignment wrapText="1"/>
    </xf>
    <xf numFmtId="180" fontId="4" fillId="0" borderId="1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/>
    </xf>
    <xf numFmtId="14" fontId="11" fillId="0" borderId="1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4" fillId="4" borderId="1" xfId="0" applyFont="1" applyFill="1" applyBorder="1" applyAlignment="1">
      <alignment wrapText="1"/>
    </xf>
    <xf numFmtId="14" fontId="2" fillId="4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right" wrapText="1"/>
    </xf>
    <xf numFmtId="180" fontId="3" fillId="4" borderId="1" xfId="0" applyNumberFormat="1" applyFont="1" applyFill="1" applyBorder="1" applyAlignment="1">
      <alignment wrapText="1"/>
    </xf>
    <xf numFmtId="169" fontId="3" fillId="4" borderId="1" xfId="0" applyNumberFormat="1" applyFont="1" applyFill="1" applyBorder="1" applyAlignment="1">
      <alignment wrapText="1"/>
    </xf>
    <xf numFmtId="0" fontId="15" fillId="0" borderId="3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4" fontId="0" fillId="0" borderId="1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174" fontId="11" fillId="0" borderId="3" xfId="0" applyNumberFormat="1" applyFont="1" applyFill="1" applyBorder="1" applyAlignment="1">
      <alignment/>
    </xf>
    <xf numFmtId="174" fontId="0" fillId="0" borderId="3" xfId="0" applyNumberFormat="1" applyFill="1" applyBorder="1" applyAlignment="1">
      <alignment/>
    </xf>
    <xf numFmtId="174" fontId="0" fillId="0" borderId="3" xfId="0" applyNumberFormat="1" applyFont="1" applyFill="1" applyBorder="1" applyAlignment="1">
      <alignment/>
    </xf>
    <xf numFmtId="14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2" fontId="0" fillId="0" borderId="5" xfId="0" applyNumberFormat="1" applyFont="1" applyFill="1" applyBorder="1" applyAlignment="1">
      <alignment/>
    </xf>
    <xf numFmtId="174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14" fontId="0" fillId="0" borderId="6" xfId="0" applyNumberFormat="1" applyFill="1" applyBorder="1" applyAlignment="1">
      <alignment/>
    </xf>
    <xf numFmtId="0" fontId="0" fillId="0" borderId="6" xfId="0" applyFill="1" applyBorder="1" applyAlignment="1">
      <alignment/>
    </xf>
    <xf numFmtId="2" fontId="0" fillId="0" borderId="7" xfId="0" applyNumberFormat="1" applyFont="1" applyFill="1" applyBorder="1" applyAlignment="1">
      <alignment/>
    </xf>
    <xf numFmtId="174" fontId="0" fillId="0" borderId="7" xfId="0" applyNumberFormat="1" applyFill="1" applyBorder="1" applyAlignment="1">
      <alignment/>
    </xf>
    <xf numFmtId="0" fontId="0" fillId="0" borderId="7" xfId="0" applyFill="1" applyBorder="1" applyAlignment="1">
      <alignment/>
    </xf>
    <xf numFmtId="14" fontId="0" fillId="0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174" fontId="0" fillId="0" borderId="9" xfId="0" applyNumberForma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2" xfId="0" applyBorder="1" applyAlignment="1">
      <alignment/>
    </xf>
    <xf numFmtId="180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3" fillId="5" borderId="1" xfId="0" applyFont="1" applyFill="1" applyBorder="1" applyAlignment="1">
      <alignment horizontal="right" wrapText="1"/>
    </xf>
    <xf numFmtId="180" fontId="3" fillId="5" borderId="1" xfId="0" applyNumberFormat="1" applyFont="1" applyFill="1" applyBorder="1" applyAlignment="1">
      <alignment wrapText="1"/>
    </xf>
    <xf numFmtId="169" fontId="3" fillId="5" borderId="1" xfId="0" applyNumberFormat="1" applyFont="1" applyFill="1" applyBorder="1" applyAlignment="1">
      <alignment wrapText="1"/>
    </xf>
    <xf numFmtId="169" fontId="11" fillId="0" borderId="10" xfId="0" applyNumberFormat="1" applyFont="1" applyFill="1" applyBorder="1" applyAlignment="1">
      <alignment/>
    </xf>
    <xf numFmtId="169" fontId="0" fillId="0" borderId="3" xfId="0" applyNumberFormat="1" applyFill="1" applyBorder="1" applyAlignment="1">
      <alignment/>
    </xf>
    <xf numFmtId="169" fontId="0" fillId="0" borderId="0" xfId="0" applyNumberFormat="1" applyAlignment="1">
      <alignment/>
    </xf>
    <xf numFmtId="14" fontId="0" fillId="0" borderId="4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169" fontId="0" fillId="0" borderId="13" xfId="0" applyNumberFormat="1" applyFill="1" applyBorder="1" applyAlignment="1">
      <alignment/>
    </xf>
    <xf numFmtId="169" fontId="0" fillId="0" borderId="1" xfId="0" applyNumberFormat="1" applyBorder="1" applyAlignment="1">
      <alignment/>
    </xf>
    <xf numFmtId="2" fontId="0" fillId="0" borderId="8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2" fontId="0" fillId="3" borderId="3" xfId="0" applyNumberFormat="1" applyFill="1" applyBorder="1" applyAlignment="1">
      <alignment/>
    </xf>
    <xf numFmtId="180" fontId="0" fillId="0" borderId="0" xfId="0" applyNumberFormat="1" applyAlignment="1">
      <alignment horizontal="right"/>
    </xf>
    <xf numFmtId="0" fontId="21" fillId="6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wrapText="1"/>
    </xf>
    <xf numFmtId="0" fontId="1" fillId="6" borderId="1" xfId="15" applyFill="1" applyBorder="1" applyAlignment="1">
      <alignment horizontal="center" vertical="center" wrapText="1"/>
    </xf>
    <xf numFmtId="180" fontId="21" fillId="6" borderId="1" xfId="0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/>
    </xf>
    <xf numFmtId="180" fontId="22" fillId="0" borderId="1" xfId="0" applyNumberFormat="1" applyFont="1" applyBorder="1" applyAlignment="1">
      <alignment horizontal="right"/>
    </xf>
    <xf numFmtId="0" fontId="23" fillId="0" borderId="0" xfId="0" applyFont="1" applyAlignment="1">
      <alignment/>
    </xf>
    <xf numFmtId="2" fontId="0" fillId="3" borderId="3" xfId="0" applyNumberFormat="1" applyFont="1" applyFill="1" applyBorder="1" applyAlignment="1">
      <alignment/>
    </xf>
    <xf numFmtId="169" fontId="0" fillId="0" borderId="3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3" borderId="6" xfId="0" applyFill="1" applyBorder="1" applyAlignment="1">
      <alignment/>
    </xf>
    <xf numFmtId="0" fontId="0" fillId="3" borderId="2" xfId="0" applyFill="1" applyBorder="1" applyAlignment="1">
      <alignment/>
    </xf>
    <xf numFmtId="174" fontId="0" fillId="3" borderId="5" xfId="0" applyNumberFormat="1" applyFill="1" applyBorder="1" applyAlignment="1">
      <alignment/>
    </xf>
    <xf numFmtId="0" fontId="3" fillId="0" borderId="1" xfId="0" applyFont="1" applyFill="1" applyBorder="1" applyAlignment="1">
      <alignment wrapText="1"/>
    </xf>
    <xf numFmtId="180" fontId="3" fillId="0" borderId="1" xfId="0" applyNumberFormat="1" applyFont="1" applyFill="1" applyBorder="1" applyAlignment="1">
      <alignment wrapText="1"/>
    </xf>
    <xf numFmtId="169" fontId="3" fillId="0" borderId="1" xfId="0" applyNumberFormat="1" applyFont="1" applyFill="1" applyBorder="1" applyAlignment="1">
      <alignment wrapText="1"/>
    </xf>
    <xf numFmtId="14" fontId="8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Расход топлива л/100км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3"/>
            <c:dispEq val="0"/>
            <c:dispRSqr val="0"/>
          </c:trendline>
          <c:cat>
            <c:numRef>
              <c:f>Топливо!$B$4:$B$79</c:f>
              <c:numCache/>
            </c:numRef>
          </c:cat>
          <c:val>
            <c:numRef>
              <c:f>Топливо!$D$4:$D$79</c:f>
              <c:numCache/>
            </c:numRef>
          </c:val>
          <c:smooth val="0"/>
        </c:ser>
        <c:marker val="1"/>
        <c:axId val="1600922"/>
        <c:axId val="14408299"/>
      </c:lineChart>
      <c:catAx>
        <c:axId val="160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520000"/>
          <a:lstStyle/>
          <a:p>
            <a:pPr>
              <a:defRPr lang="en-US" cap="none" sz="1100" b="0" i="0" u="none" baseline="0"/>
            </a:pPr>
          </a:p>
        </c:txPr>
        <c:crossAx val="14408299"/>
        <c:crossesAt val="5"/>
        <c:auto val="1"/>
        <c:lblOffset val="100"/>
        <c:noMultiLvlLbl val="0"/>
      </c:catAx>
      <c:valAx>
        <c:axId val="14408299"/>
        <c:scaling>
          <c:orientation val="minMax"/>
          <c:max val="9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japancats.ru/fullinfo.asp?flag=4124&amp;c=&amp;pid=89732AE7" TargetMode="External" /><Relationship Id="rId3" Type="http://schemas.openxmlformats.org/officeDocument/2006/relationships/hyperlink" Target="http://www.japancats.ru/fullinfo.asp?flag=4124&amp;c=&amp;pid=89732AE7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exist.ru/stat/delivery_days.asp?rid=4440894" TargetMode="External" /><Relationship Id="rId6" Type="http://schemas.openxmlformats.org/officeDocument/2006/relationships/hyperlink" Target="http://www.exist.ru/stat/delivery_days.asp?rid=4440894" TargetMode="External" /><Relationship Id="rId7" Type="http://schemas.openxmlformats.org/officeDocument/2006/relationships/hyperlink" Target="http://www.japancats.ru/fullinfo.asp?flag=4124&amp;c=&amp;pid=29A32B3F" TargetMode="External" /><Relationship Id="rId8" Type="http://schemas.openxmlformats.org/officeDocument/2006/relationships/hyperlink" Target="http://www.japancats.ru/fullinfo.asp?flag=4124&amp;c=&amp;pid=29A32B3F" TargetMode="External" /><Relationship Id="rId9" Type="http://schemas.openxmlformats.org/officeDocument/2006/relationships/hyperlink" Target="http://www.exist.ru/stat/delivery_days.asp?rid=4447723" TargetMode="External" /><Relationship Id="rId10" Type="http://schemas.openxmlformats.org/officeDocument/2006/relationships/hyperlink" Target="http://www.exist.ru/stat/delivery_days.asp?rid=4447723" TargetMode="External" /><Relationship Id="rId11" Type="http://schemas.openxmlformats.org/officeDocument/2006/relationships/hyperlink" Target="http://www.japancats.ru/fullinfo.asp?flag=4124&amp;c=&amp;pid=44532BCE" TargetMode="External" /><Relationship Id="rId12" Type="http://schemas.openxmlformats.org/officeDocument/2006/relationships/hyperlink" Target="http://www.japancats.ru/fullinfo.asp?flag=4124&amp;c=&amp;pid=44532BCE" TargetMode="External" /><Relationship Id="rId13" Type="http://schemas.openxmlformats.org/officeDocument/2006/relationships/hyperlink" Target="http://www.exist.ru/stat/delivery_days.asp?rid=4452155" TargetMode="External" /><Relationship Id="rId14" Type="http://schemas.openxmlformats.org/officeDocument/2006/relationships/hyperlink" Target="http://www.exist.ru/stat/delivery_days.asp?rid=4452155" TargetMode="External" /><Relationship Id="rId15" Type="http://schemas.openxmlformats.org/officeDocument/2006/relationships/hyperlink" Target="http://www.japancats.ru/fullinfo.asp?flag=4124&amp;c=&amp;pid=2A132B47" TargetMode="External" /><Relationship Id="rId16" Type="http://schemas.openxmlformats.org/officeDocument/2006/relationships/hyperlink" Target="http://www.japancats.ru/fullinfo.asp?flag=4124&amp;c=&amp;pid=2A132B47" TargetMode="External" /><Relationship Id="rId17" Type="http://schemas.openxmlformats.org/officeDocument/2006/relationships/hyperlink" Target="http://www.exist.ru/stat/delivery_days.asp?rid=4453629" TargetMode="External" /><Relationship Id="rId18" Type="http://schemas.openxmlformats.org/officeDocument/2006/relationships/hyperlink" Target="http://www.exist.ru/stat/delivery_days.asp?rid=4453629" TargetMode="External" /><Relationship Id="rId19" Type="http://schemas.openxmlformats.org/officeDocument/2006/relationships/hyperlink" Target="http://www.japancats.ru/fullinfo.asp?flag=4124&amp;c=&amp;pid=AE453900" TargetMode="External" /><Relationship Id="rId20" Type="http://schemas.openxmlformats.org/officeDocument/2006/relationships/hyperlink" Target="http://www.japancats.ru/fullinfo.asp?flag=4124&amp;c=&amp;pid=AE453900" TargetMode="External" /><Relationship Id="rId21" Type="http://schemas.openxmlformats.org/officeDocument/2006/relationships/hyperlink" Target="http://www.exist.ru/stat/delivery_days.asp?rid=4461262" TargetMode="External" /><Relationship Id="rId22" Type="http://schemas.openxmlformats.org/officeDocument/2006/relationships/hyperlink" Target="http://www.exist.ru/stat/delivery_days.asp?rid=4461262" TargetMode="External" /><Relationship Id="rId23" Type="http://schemas.openxmlformats.org/officeDocument/2006/relationships/hyperlink" Target="http://www.japancats.ru/fullinfo.asp?flag=4124&amp;c=&amp;pid=D5C32582" TargetMode="External" /><Relationship Id="rId24" Type="http://schemas.openxmlformats.org/officeDocument/2006/relationships/hyperlink" Target="http://www.japancats.ru/fullinfo.asp?flag=4124&amp;c=&amp;pid=D5C32582" TargetMode="External" /><Relationship Id="rId25" Type="http://schemas.openxmlformats.org/officeDocument/2006/relationships/hyperlink" Target="http://www.exist.ru/stat/delivery_days.asp?rid=4470953" TargetMode="External" /><Relationship Id="rId26" Type="http://schemas.openxmlformats.org/officeDocument/2006/relationships/hyperlink" Target="http://www.exist.ru/stat/delivery_days.asp?rid=4470953" TargetMode="External" /><Relationship Id="rId27" Type="http://schemas.openxmlformats.org/officeDocument/2006/relationships/hyperlink" Target="http://www.japancats.ru/fullinfo.asp?flag=4124&amp;c=&amp;pid=C3066F08" TargetMode="External" /><Relationship Id="rId28" Type="http://schemas.openxmlformats.org/officeDocument/2006/relationships/hyperlink" Target="http://www.japancats.ru/fullinfo.asp?flag=4124&amp;c=&amp;pid=C3066F08" TargetMode="External" /><Relationship Id="rId29" Type="http://schemas.openxmlformats.org/officeDocument/2006/relationships/hyperlink" Target="http://www.exist.ru/stat/delivery_days.asp?rid=4475243" TargetMode="External" /><Relationship Id="rId30" Type="http://schemas.openxmlformats.org/officeDocument/2006/relationships/hyperlink" Target="http://www.exist.ru/stat/delivery_days.asp?rid=4475243" TargetMode="External" /><Relationship Id="rId31" Type="http://schemas.openxmlformats.org/officeDocument/2006/relationships/hyperlink" Target="http://www.japancats.ru/fullinfo.asp?flag=4124&amp;c=&amp;pid=68B31D03" TargetMode="External" /><Relationship Id="rId32" Type="http://schemas.openxmlformats.org/officeDocument/2006/relationships/hyperlink" Target="http://www.japancats.ru/fullinfo.asp?flag=4124&amp;c=&amp;pid=68B31D03" TargetMode="External" /><Relationship Id="rId33" Type="http://schemas.openxmlformats.org/officeDocument/2006/relationships/hyperlink" Target="http://www.exist.ru/stat/delivery_days.asp?rid=4485073" TargetMode="External" /><Relationship Id="rId34" Type="http://schemas.openxmlformats.org/officeDocument/2006/relationships/hyperlink" Target="http://www.exist.ru/stat/delivery_days.asp?rid=4485073" TargetMode="External" /><Relationship Id="rId35" Type="http://schemas.openxmlformats.org/officeDocument/2006/relationships/hyperlink" Target="http://www.japancats.ru/fullinfo.asp?flag=4124&amp;c=&amp;pid=85F66BF4" TargetMode="External" /><Relationship Id="rId36" Type="http://schemas.openxmlformats.org/officeDocument/2006/relationships/hyperlink" Target="http://www.japancats.ru/fullinfo.asp?flag=4124&amp;c=&amp;pid=85F66BF4" TargetMode="External" /><Relationship Id="rId37" Type="http://schemas.openxmlformats.org/officeDocument/2006/relationships/hyperlink" Target="http://www.exist.ru/stat/delivery_days.asp?rid=4489252" TargetMode="External" /><Relationship Id="rId38" Type="http://schemas.openxmlformats.org/officeDocument/2006/relationships/hyperlink" Target="http://www.exist.ru/stat/delivery_days.asp?rid=4489252" TargetMode="External" /><Relationship Id="rId39" Type="http://schemas.openxmlformats.org/officeDocument/2006/relationships/hyperlink" Target="http://www.japancats.ru/fullinfo.asp?flag=4124&amp;c=&amp;pid=A1832489" TargetMode="External" /><Relationship Id="rId40" Type="http://schemas.openxmlformats.org/officeDocument/2006/relationships/hyperlink" Target="http://www.japancats.ru/fullinfo.asp?flag=4124&amp;c=&amp;pid=A1832489" TargetMode="External" /><Relationship Id="rId41" Type="http://schemas.openxmlformats.org/officeDocument/2006/relationships/hyperlink" Target="http://www.exist.ru/stat/delivery_days.asp?rid=4494648" TargetMode="External" /><Relationship Id="rId42" Type="http://schemas.openxmlformats.org/officeDocument/2006/relationships/hyperlink" Target="http://www.exist.ru/stat/delivery_days.asp?rid=4494648" TargetMode="External" /><Relationship Id="rId43" Type="http://schemas.openxmlformats.org/officeDocument/2006/relationships/hyperlink" Target="http://www.japancats.ru/fullinfo.asp?flag=4124&amp;c=&amp;pid=3F067117" TargetMode="External" /><Relationship Id="rId44" Type="http://schemas.openxmlformats.org/officeDocument/2006/relationships/hyperlink" Target="http://www.japancats.ru/fullinfo.asp?flag=4124&amp;c=&amp;pid=3F067117" TargetMode="External" /><Relationship Id="rId45" Type="http://schemas.openxmlformats.org/officeDocument/2006/relationships/hyperlink" Target="http://www.exist.ru/stat/delivery_days.asp?rid=4503817" TargetMode="External" /><Relationship Id="rId46" Type="http://schemas.openxmlformats.org/officeDocument/2006/relationships/hyperlink" Target="http://www.exist.ru/stat/delivery_days.asp?rid=4503817" TargetMode="External" /><Relationship Id="rId47" Type="http://schemas.openxmlformats.org/officeDocument/2006/relationships/hyperlink" Target="http://www.japancats.ru/fullinfo.asp?flag=4124&amp;c=&amp;pid=5E37B2F8" TargetMode="External" /><Relationship Id="rId48" Type="http://schemas.openxmlformats.org/officeDocument/2006/relationships/hyperlink" Target="http://www.japancats.ru/fullinfo.asp?flag=4124&amp;c=&amp;pid=5E37B2F8" TargetMode="External" /><Relationship Id="rId49" Type="http://schemas.openxmlformats.org/officeDocument/2006/relationships/hyperlink" Target="http://www.exist.ru/stat/delivery_days.asp?rid=4528277" TargetMode="External" /><Relationship Id="rId50" Type="http://schemas.openxmlformats.org/officeDocument/2006/relationships/hyperlink" Target="http://www.exist.ru/stat/delivery_days.asp?rid=4528277" TargetMode="External" /><Relationship Id="rId51" Type="http://schemas.openxmlformats.org/officeDocument/2006/relationships/hyperlink" Target="http://www.japancats.ru/fullinfo.asp?flag=4124&amp;c=&amp;pid=0AE4110A" TargetMode="External" /><Relationship Id="rId52" Type="http://schemas.openxmlformats.org/officeDocument/2006/relationships/hyperlink" Target="http://www.japancats.ru/fullinfo.asp?flag=4124&amp;c=&amp;pid=0AE4110A" TargetMode="External" /><Relationship Id="rId53" Type="http://schemas.openxmlformats.org/officeDocument/2006/relationships/hyperlink" Target="http://www.exist.ru/stat/delivery_days.asp?rid=4541946" TargetMode="External" /><Relationship Id="rId54" Type="http://schemas.openxmlformats.org/officeDocument/2006/relationships/hyperlink" Target="http://www.exist.ru/stat/delivery_days.asp?rid=454194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49</xdr:row>
      <xdr:rowOff>66675</xdr:rowOff>
    </xdr:from>
    <xdr:to>
      <xdr:col>17</xdr:col>
      <xdr:colOff>19050</xdr:colOff>
      <xdr:row>72</xdr:row>
      <xdr:rowOff>152400</xdr:rowOff>
    </xdr:to>
    <xdr:graphicFrame>
      <xdr:nvGraphicFramePr>
        <xdr:cNvPr id="1" name="Chart 4"/>
        <xdr:cNvGraphicFramePr/>
      </xdr:nvGraphicFramePr>
      <xdr:xfrm>
        <a:off x="5734050" y="8001000"/>
        <a:ext cx="66103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142875</xdr:colOff>
      <xdr:row>2</xdr:row>
      <xdr:rowOff>123825</xdr:rowOff>
    </xdr:to>
    <xdr:pic>
      <xdr:nvPicPr>
        <xdr:cNvPr id="1" name="Picture 1" descr="Применяемость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238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85725</xdr:colOff>
      <xdr:row>2</xdr:row>
      <xdr:rowOff>85725</xdr:rowOff>
    </xdr:to>
    <xdr:pic>
      <xdr:nvPicPr>
        <xdr:cNvPr id="2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3238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142875</xdr:colOff>
      <xdr:row>3</xdr:row>
      <xdr:rowOff>123825</xdr:rowOff>
    </xdr:to>
    <xdr:pic>
      <xdr:nvPicPr>
        <xdr:cNvPr id="3" name="Picture 3" descr="Применяемость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857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85725</xdr:colOff>
      <xdr:row>3</xdr:row>
      <xdr:rowOff>85725</xdr:rowOff>
    </xdr:to>
    <xdr:pic>
      <xdr:nvPicPr>
        <xdr:cNvPr id="4" name="Picture 4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4857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142875</xdr:colOff>
      <xdr:row>4</xdr:row>
      <xdr:rowOff>123825</xdr:rowOff>
    </xdr:to>
    <xdr:pic>
      <xdr:nvPicPr>
        <xdr:cNvPr id="5" name="Picture 5" descr="Применяемость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7524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85725</xdr:rowOff>
    </xdr:to>
    <xdr:pic>
      <xdr:nvPicPr>
        <xdr:cNvPr id="6" name="Picture 6">
          <a:hlinkClick r:id="rId1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7524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142875</xdr:colOff>
      <xdr:row>5</xdr:row>
      <xdr:rowOff>123825</xdr:rowOff>
    </xdr:to>
    <xdr:pic>
      <xdr:nvPicPr>
        <xdr:cNvPr id="7" name="Picture 7" descr="Применяемость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0191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85725</xdr:colOff>
      <xdr:row>5</xdr:row>
      <xdr:rowOff>85725</xdr:rowOff>
    </xdr:to>
    <xdr:pic>
      <xdr:nvPicPr>
        <xdr:cNvPr id="8" name="Picture 8">
          <a:hlinkClick r:id="rId1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0191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142875</xdr:colOff>
      <xdr:row>6</xdr:row>
      <xdr:rowOff>123825</xdr:rowOff>
    </xdr:to>
    <xdr:pic>
      <xdr:nvPicPr>
        <xdr:cNvPr id="9" name="Picture 10" descr="Применяемость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1811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85725</xdr:colOff>
      <xdr:row>6</xdr:row>
      <xdr:rowOff>85725</xdr:rowOff>
    </xdr:to>
    <xdr:pic>
      <xdr:nvPicPr>
        <xdr:cNvPr id="10" name="Picture 11">
          <a:hlinkClick r:id="rId2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1811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142875</xdr:colOff>
      <xdr:row>7</xdr:row>
      <xdr:rowOff>123825</xdr:rowOff>
    </xdr:to>
    <xdr:pic>
      <xdr:nvPicPr>
        <xdr:cNvPr id="11" name="Picture 12" descr="Применяемость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4478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85725</xdr:rowOff>
    </xdr:to>
    <xdr:pic>
      <xdr:nvPicPr>
        <xdr:cNvPr id="12" name="Picture 13">
          <a:hlinkClick r:id="rId2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4478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142875</xdr:colOff>
      <xdr:row>8</xdr:row>
      <xdr:rowOff>123825</xdr:rowOff>
    </xdr:to>
    <xdr:pic>
      <xdr:nvPicPr>
        <xdr:cNvPr id="13" name="Picture 14" descr="Применяемость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6097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85725</xdr:colOff>
      <xdr:row>8</xdr:row>
      <xdr:rowOff>85725</xdr:rowOff>
    </xdr:to>
    <xdr:pic>
      <xdr:nvPicPr>
        <xdr:cNvPr id="14" name="Picture 15">
          <a:hlinkClick r:id="rId3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6097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142875</xdr:colOff>
      <xdr:row>9</xdr:row>
      <xdr:rowOff>123825</xdr:rowOff>
    </xdr:to>
    <xdr:pic>
      <xdr:nvPicPr>
        <xdr:cNvPr id="15" name="Picture 16" descr="Применяемость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8764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85725</xdr:rowOff>
    </xdr:to>
    <xdr:pic>
      <xdr:nvPicPr>
        <xdr:cNvPr id="16" name="Picture 17">
          <a:hlinkClick r:id="rId3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8764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142875</xdr:colOff>
      <xdr:row>10</xdr:row>
      <xdr:rowOff>76200</xdr:rowOff>
    </xdr:to>
    <xdr:pic>
      <xdr:nvPicPr>
        <xdr:cNvPr id="17" name="Picture 18" descr="Применяемость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038350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85725</xdr:colOff>
      <xdr:row>10</xdr:row>
      <xdr:rowOff>47625</xdr:rowOff>
    </xdr:to>
    <xdr:pic>
      <xdr:nvPicPr>
        <xdr:cNvPr id="18" name="Picture 19">
          <a:hlinkClick r:id="rId3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038350"/>
          <a:ext cx="85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142875</xdr:colOff>
      <xdr:row>11</xdr:row>
      <xdr:rowOff>123825</xdr:rowOff>
    </xdr:to>
    <xdr:pic>
      <xdr:nvPicPr>
        <xdr:cNvPr id="19" name="Picture 20" descr="Применяемость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200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85725</xdr:colOff>
      <xdr:row>11</xdr:row>
      <xdr:rowOff>85725</xdr:rowOff>
    </xdr:to>
    <xdr:pic>
      <xdr:nvPicPr>
        <xdr:cNvPr id="20" name="Picture 21">
          <a:hlinkClick r:id="rId4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2002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142875</xdr:colOff>
      <xdr:row>12</xdr:row>
      <xdr:rowOff>76200</xdr:rowOff>
    </xdr:to>
    <xdr:pic>
      <xdr:nvPicPr>
        <xdr:cNvPr id="21" name="Picture 22" descr="Применяемость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362200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85725</xdr:colOff>
      <xdr:row>12</xdr:row>
      <xdr:rowOff>47625</xdr:rowOff>
    </xdr:to>
    <xdr:pic>
      <xdr:nvPicPr>
        <xdr:cNvPr id="22" name="Picture 23">
          <a:hlinkClick r:id="rId4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362200"/>
          <a:ext cx="85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142875</xdr:colOff>
      <xdr:row>13</xdr:row>
      <xdr:rowOff>123825</xdr:rowOff>
    </xdr:to>
    <xdr:pic>
      <xdr:nvPicPr>
        <xdr:cNvPr id="23" name="Picture 24" descr="Применяемость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241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85725</xdr:colOff>
      <xdr:row>13</xdr:row>
      <xdr:rowOff>85725</xdr:rowOff>
    </xdr:to>
    <xdr:pic>
      <xdr:nvPicPr>
        <xdr:cNvPr id="24" name="Picture 25">
          <a:hlinkClick r:id="rId5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5241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142875</xdr:colOff>
      <xdr:row>1</xdr:row>
      <xdr:rowOff>123825</xdr:rowOff>
    </xdr:to>
    <xdr:pic>
      <xdr:nvPicPr>
        <xdr:cNvPr id="25" name="Picture 26" descr="Применяемость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6192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85725</xdr:colOff>
      <xdr:row>1</xdr:row>
      <xdr:rowOff>85725</xdr:rowOff>
    </xdr:to>
    <xdr:pic>
      <xdr:nvPicPr>
        <xdr:cNvPr id="26" name="Picture 27">
          <a:hlinkClick r:id="rId5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619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vovik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xist.ru/stat/delivery_days.asp?rid=4440894" TargetMode="External" /><Relationship Id="rId2" Type="http://schemas.openxmlformats.org/officeDocument/2006/relationships/hyperlink" Target="http://www.exist.ru/stat/delivery_days.asp?rid=4447723" TargetMode="External" /><Relationship Id="rId3" Type="http://schemas.openxmlformats.org/officeDocument/2006/relationships/hyperlink" Target="http://www.exist.ru/stat/delivery_days.asp?rid=4452155" TargetMode="External" /><Relationship Id="rId4" Type="http://schemas.openxmlformats.org/officeDocument/2006/relationships/hyperlink" Target="http://www.exist.ru/stat/delivery_days.asp?rid=4453629" TargetMode="External" /><Relationship Id="rId5" Type="http://schemas.openxmlformats.org/officeDocument/2006/relationships/hyperlink" Target="http://www.exist.ru/stat/delivery_days.asp?rid=4461262" TargetMode="External" /><Relationship Id="rId6" Type="http://schemas.openxmlformats.org/officeDocument/2006/relationships/hyperlink" Target="http://www.exist.ru/stat/delivery_days.asp?rid=4470953" TargetMode="External" /><Relationship Id="rId7" Type="http://schemas.openxmlformats.org/officeDocument/2006/relationships/hyperlink" Target="http://www.exist.ru/stat/delivery_days.asp?rid=4475243" TargetMode="External" /><Relationship Id="rId8" Type="http://schemas.openxmlformats.org/officeDocument/2006/relationships/hyperlink" Target="http://www.exist.ru/stat/delivery_days.asp?rid=4485073" TargetMode="External" /><Relationship Id="rId9" Type="http://schemas.openxmlformats.org/officeDocument/2006/relationships/hyperlink" Target="http://www.exist.ru/stat/delivery_days.asp?rid=4489252" TargetMode="External" /><Relationship Id="rId10" Type="http://schemas.openxmlformats.org/officeDocument/2006/relationships/hyperlink" Target="http://www.exist.ru/stat/delivery_days.asp?rid=4494648" TargetMode="External" /><Relationship Id="rId11" Type="http://schemas.openxmlformats.org/officeDocument/2006/relationships/hyperlink" Target="http://www.exist.ru/stat/delivery_days.asp?rid=4503817" TargetMode="External" /><Relationship Id="rId12" Type="http://schemas.openxmlformats.org/officeDocument/2006/relationships/hyperlink" Target="http://www.exist.ru/stat/delivery_days.asp?rid=4528277" TargetMode="External" /><Relationship Id="rId13" Type="http://schemas.openxmlformats.org/officeDocument/2006/relationships/hyperlink" Target="http://www.exist.ru/stat/delivery_days.asp?rid=4541946" TargetMode="External" /><Relationship Id="rId14" Type="http://schemas.openxmlformats.org/officeDocument/2006/relationships/drawing" Target="../drawings/drawing2.xml" /><Relationship Id="rId1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workbookViewId="0" topLeftCell="A1">
      <pane ySplit="2" topLeftCell="BM3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8.25390625" style="4" customWidth="1"/>
    <col min="2" max="2" width="34.875" style="4" bestFit="1" customWidth="1"/>
    <col min="3" max="3" width="13.25390625" style="4" customWidth="1"/>
    <col min="4" max="4" width="14.125" style="4" customWidth="1"/>
    <col min="5" max="5" width="30.125" style="4" customWidth="1"/>
    <col min="6" max="6" width="10.25390625" style="4" bestFit="1" customWidth="1"/>
    <col min="7" max="7" width="20.75390625" style="39" customWidth="1"/>
    <col min="8" max="8" width="22.125" style="39" customWidth="1"/>
    <col min="9" max="9" width="10.00390625" style="1" bestFit="1" customWidth="1"/>
    <col min="10" max="16384" width="9.125" style="1" customWidth="1"/>
  </cols>
  <sheetData>
    <row r="1" spans="1:9" ht="22.5">
      <c r="A1" s="2" t="s">
        <v>0</v>
      </c>
      <c r="B1" s="2" t="s">
        <v>1</v>
      </c>
      <c r="C1" s="2" t="s">
        <v>16</v>
      </c>
      <c r="D1" s="31" t="s">
        <v>17</v>
      </c>
      <c r="E1" s="2" t="s">
        <v>3</v>
      </c>
      <c r="F1" s="9" t="s">
        <v>5</v>
      </c>
      <c r="G1" s="39" t="s">
        <v>22</v>
      </c>
      <c r="H1" s="42">
        <v>8500</v>
      </c>
      <c r="I1" s="55">
        <f>31000+7400*26.5</f>
        <v>227100</v>
      </c>
    </row>
    <row r="2" spans="1:9" ht="11.25">
      <c r="A2" s="3">
        <v>68448</v>
      </c>
      <c r="B2" s="3" t="s">
        <v>18</v>
      </c>
      <c r="C2" s="58">
        <v>600</v>
      </c>
      <c r="D2" s="10">
        <f aca="true" t="shared" si="0" ref="D2:D10">C2/26.4</f>
        <v>22.72727272727273</v>
      </c>
      <c r="E2" s="2"/>
      <c r="F2" s="48">
        <v>39066</v>
      </c>
      <c r="G2" s="39" t="s">
        <v>24</v>
      </c>
      <c r="H2" s="42">
        <f>SUM(D:D)/2</f>
        <v>3680.510022020068</v>
      </c>
      <c r="I2" s="55">
        <f>SUM(C:C)/2</f>
        <v>86406.37115161939</v>
      </c>
    </row>
    <row r="3" spans="1:9" ht="11.25">
      <c r="A3" s="2"/>
      <c r="B3" s="3" t="s">
        <v>19</v>
      </c>
      <c r="C3" s="58">
        <v>2772</v>
      </c>
      <c r="D3" s="10">
        <f t="shared" si="0"/>
        <v>105</v>
      </c>
      <c r="E3" s="2"/>
      <c r="F3" s="48"/>
      <c r="H3" s="44"/>
      <c r="I3" s="15"/>
    </row>
    <row r="4" spans="1:6" ht="11.25">
      <c r="A4" s="2"/>
      <c r="B4" s="3" t="s">
        <v>20</v>
      </c>
      <c r="C4" s="58">
        <v>837</v>
      </c>
      <c r="D4" s="10">
        <f t="shared" si="0"/>
        <v>31.704545454545457</v>
      </c>
      <c r="E4" s="2"/>
      <c r="F4" s="48"/>
    </row>
    <row r="5" spans="1:8" s="27" customFormat="1" ht="11.25">
      <c r="A5" s="37">
        <v>68600</v>
      </c>
      <c r="B5" s="37" t="s">
        <v>43</v>
      </c>
      <c r="C5" s="59">
        <v>248</v>
      </c>
      <c r="D5" s="10">
        <f t="shared" si="0"/>
        <v>9.393939393939394</v>
      </c>
      <c r="E5" s="37" t="s">
        <v>44</v>
      </c>
      <c r="F5" s="48">
        <v>39068</v>
      </c>
      <c r="G5" s="39" t="s">
        <v>110</v>
      </c>
      <c r="H5" s="39">
        <f>MAX(Топливо!B:B,A:A)-A2</f>
        <v>35152</v>
      </c>
    </row>
    <row r="6" spans="1:8" s="27" customFormat="1" ht="12.75">
      <c r="A6" s="37"/>
      <c r="B6" s="37" t="s">
        <v>45</v>
      </c>
      <c r="C6" s="59">
        <v>9300</v>
      </c>
      <c r="D6" s="38">
        <f t="shared" si="0"/>
        <v>352.2727272727273</v>
      </c>
      <c r="E6" s="41" t="s">
        <v>46</v>
      </c>
      <c r="F6" s="48">
        <v>39073</v>
      </c>
      <c r="G6" s="39" t="s">
        <v>107</v>
      </c>
      <c r="H6" s="39">
        <f>(MAX(A:A)-A2)/COUNTA(A:A)</f>
        <v>2343.4666666666667</v>
      </c>
    </row>
    <row r="7" spans="1:8" s="27" customFormat="1" ht="22.5">
      <c r="A7" s="37"/>
      <c r="B7" s="37" t="s">
        <v>51</v>
      </c>
      <c r="C7" s="59">
        <v>1249.62</v>
      </c>
      <c r="D7" s="38">
        <f t="shared" si="0"/>
        <v>47.33409090909091</v>
      </c>
      <c r="E7" s="37" t="s">
        <v>52</v>
      </c>
      <c r="F7" s="48">
        <v>39086</v>
      </c>
      <c r="G7" s="39"/>
      <c r="H7" s="39"/>
    </row>
    <row r="8" spans="1:8" s="27" customFormat="1" ht="11.25">
      <c r="A8" s="37"/>
      <c r="B8" s="37" t="s">
        <v>53</v>
      </c>
      <c r="C8" s="59">
        <v>360</v>
      </c>
      <c r="D8" s="38">
        <f t="shared" si="0"/>
        <v>13.636363636363637</v>
      </c>
      <c r="E8" s="37"/>
      <c r="F8" s="48"/>
      <c r="G8" s="39"/>
      <c r="H8" s="39"/>
    </row>
    <row r="9" spans="1:8" s="27" customFormat="1" ht="11.25">
      <c r="A9" s="37"/>
      <c r="B9" s="37" t="s">
        <v>54</v>
      </c>
      <c r="C9" s="59">
        <v>600</v>
      </c>
      <c r="D9" s="38">
        <f t="shared" si="0"/>
        <v>22.72727272727273</v>
      </c>
      <c r="E9" s="37" t="s">
        <v>55</v>
      </c>
      <c r="F9" s="48">
        <v>39106</v>
      </c>
      <c r="G9" s="39"/>
      <c r="H9" s="39"/>
    </row>
    <row r="10" spans="1:8" s="27" customFormat="1" ht="11.25">
      <c r="A10" s="37"/>
      <c r="B10" s="37" t="s">
        <v>56</v>
      </c>
      <c r="C10" s="59">
        <v>234.3</v>
      </c>
      <c r="D10" s="38">
        <f t="shared" si="0"/>
        <v>8.875000000000002</v>
      </c>
      <c r="E10" s="37" t="s">
        <v>52</v>
      </c>
      <c r="F10" s="48"/>
      <c r="G10" s="39"/>
      <c r="H10" s="39"/>
    </row>
    <row r="11" spans="1:8" s="27" customFormat="1" ht="11.25">
      <c r="A11" s="37"/>
      <c r="B11" s="37" t="s">
        <v>57</v>
      </c>
      <c r="C11" s="59">
        <v>10256</v>
      </c>
      <c r="D11" s="38">
        <f>C11/26.6</f>
        <v>385.56390977443607</v>
      </c>
      <c r="E11" s="37"/>
      <c r="F11" s="48">
        <v>39117</v>
      </c>
      <c r="G11" s="39"/>
      <c r="H11" s="39"/>
    </row>
    <row r="12" spans="1:8" s="27" customFormat="1" ht="11.25">
      <c r="A12" s="37">
        <v>69908</v>
      </c>
      <c r="B12" s="37" t="s">
        <v>58</v>
      </c>
      <c r="C12" s="59">
        <v>1</v>
      </c>
      <c r="D12" s="38">
        <f>C12/26.6</f>
        <v>0.03759398496240601</v>
      </c>
      <c r="E12" s="37"/>
      <c r="F12" s="48">
        <v>39117</v>
      </c>
      <c r="G12" s="39"/>
      <c r="H12" s="39"/>
    </row>
    <row r="13" spans="1:8" s="27" customFormat="1" ht="11.25">
      <c r="A13" s="37">
        <v>71773</v>
      </c>
      <c r="B13" s="37" t="s">
        <v>59</v>
      </c>
      <c r="C13" s="59">
        <v>1</v>
      </c>
      <c r="D13" s="38">
        <f>C13/26.1</f>
        <v>0.038314176245210725</v>
      </c>
      <c r="E13" s="37"/>
      <c r="F13" s="48">
        <v>39166</v>
      </c>
      <c r="G13" s="39"/>
      <c r="H13" s="39"/>
    </row>
    <row r="14" spans="1:8" s="27" customFormat="1" ht="12.75">
      <c r="A14" s="37"/>
      <c r="B14" s="37" t="s">
        <v>60</v>
      </c>
      <c r="C14" s="59">
        <v>1100</v>
      </c>
      <c r="D14" s="38">
        <f>C14/26.1</f>
        <v>42.1455938697318</v>
      </c>
      <c r="E14" s="41"/>
      <c r="F14" s="48">
        <v>39196</v>
      </c>
      <c r="G14" s="39"/>
      <c r="H14" s="39"/>
    </row>
    <row r="15" spans="1:8" s="27" customFormat="1" ht="11.25">
      <c r="A15" s="37"/>
      <c r="B15" s="37" t="s">
        <v>61</v>
      </c>
      <c r="C15" s="59">
        <v>80</v>
      </c>
      <c r="D15" s="38">
        <f>C15/25.9</f>
        <v>3.088803088803089</v>
      </c>
      <c r="E15" s="37"/>
      <c r="F15" s="48">
        <v>39208</v>
      </c>
      <c r="G15" s="39"/>
      <c r="H15" s="39"/>
    </row>
    <row r="16" spans="1:8" s="27" customFormat="1" ht="22.5">
      <c r="A16" s="37"/>
      <c r="B16" s="37" t="s">
        <v>98</v>
      </c>
      <c r="C16" s="59">
        <v>1614</v>
      </c>
      <c r="D16" s="38">
        <f>C16/25.9</f>
        <v>62.31660231660232</v>
      </c>
      <c r="E16" s="37" t="s">
        <v>99</v>
      </c>
      <c r="F16" s="48">
        <v>39238</v>
      </c>
      <c r="G16" s="39"/>
      <c r="H16" s="39"/>
    </row>
    <row r="17" spans="1:8" s="27" customFormat="1" ht="11.25">
      <c r="A17" s="37"/>
      <c r="B17" s="37" t="s">
        <v>100</v>
      </c>
      <c r="C17" s="59">
        <v>824.82</v>
      </c>
      <c r="D17" s="38">
        <f>C17/25.9</f>
        <v>31.84633204633205</v>
      </c>
      <c r="E17" s="37" t="s">
        <v>52</v>
      </c>
      <c r="F17" s="48">
        <v>39246</v>
      </c>
      <c r="G17" s="39"/>
      <c r="H17" s="39"/>
    </row>
    <row r="18" spans="1:8" s="27" customFormat="1" ht="12.75">
      <c r="A18" s="37">
        <v>75981</v>
      </c>
      <c r="B18" s="37" t="s">
        <v>101</v>
      </c>
      <c r="C18" s="59">
        <v>1</v>
      </c>
      <c r="D18" s="38">
        <f>C18/25.9</f>
        <v>0.03861003861003861</v>
      </c>
      <c r="E18" s="41"/>
      <c r="F18" s="48">
        <v>39248</v>
      </c>
      <c r="G18" s="39"/>
      <c r="H18" s="39"/>
    </row>
    <row r="19" spans="1:8" s="27" customFormat="1" ht="22.5">
      <c r="A19" s="37">
        <v>76383</v>
      </c>
      <c r="B19" s="37" t="s">
        <v>102</v>
      </c>
      <c r="C19" s="59">
        <f>45000-60000</f>
        <v>-15000</v>
      </c>
      <c r="D19" s="38">
        <f>C19/26</f>
        <v>-576.9230769230769</v>
      </c>
      <c r="E19" s="37" t="s">
        <v>103</v>
      </c>
      <c r="F19" s="48">
        <v>39252</v>
      </c>
      <c r="G19" s="39"/>
      <c r="H19" s="39"/>
    </row>
    <row r="20" spans="1:8" s="27" customFormat="1" ht="11.25">
      <c r="A20" s="37"/>
      <c r="B20" s="37" t="s">
        <v>104</v>
      </c>
      <c r="C20" s="59">
        <v>300</v>
      </c>
      <c r="D20" s="38">
        <f aca="true" t="shared" si="1" ref="D20:D28">C20/24.5</f>
        <v>12.244897959183673</v>
      </c>
      <c r="E20" s="37"/>
      <c r="F20" s="48">
        <v>39344</v>
      </c>
      <c r="G20" s="39"/>
      <c r="H20" s="39"/>
    </row>
    <row r="21" spans="1:8" s="27" customFormat="1" ht="11.25">
      <c r="A21" s="37">
        <v>81188</v>
      </c>
      <c r="B21" s="37" t="s">
        <v>58</v>
      </c>
      <c r="C21" s="59">
        <v>1</v>
      </c>
      <c r="D21" s="38">
        <f t="shared" si="1"/>
        <v>0.04081632653061224</v>
      </c>
      <c r="E21" s="37"/>
      <c r="F21" s="48">
        <v>39392</v>
      </c>
      <c r="G21" s="39"/>
      <c r="H21" s="39"/>
    </row>
    <row r="22" spans="1:8" s="27" customFormat="1" ht="11.25">
      <c r="A22" s="37"/>
      <c r="B22" s="37" t="s">
        <v>105</v>
      </c>
      <c r="C22" s="59">
        <f>258+(138.55/2)</f>
        <v>327.275</v>
      </c>
      <c r="D22" s="38">
        <f t="shared" si="1"/>
        <v>13.358163265306121</v>
      </c>
      <c r="E22" s="37"/>
      <c r="F22" s="48">
        <v>39402</v>
      </c>
      <c r="G22" s="39"/>
      <c r="H22" s="39"/>
    </row>
    <row r="23" spans="1:8" s="27" customFormat="1" ht="11.25">
      <c r="A23" s="37"/>
      <c r="B23" s="37" t="s">
        <v>118</v>
      </c>
      <c r="C23" s="59">
        <v>417.12</v>
      </c>
      <c r="D23" s="38">
        <f t="shared" si="1"/>
        <v>17.02530612244898</v>
      </c>
      <c r="E23" s="37" t="s">
        <v>106</v>
      </c>
      <c r="F23" s="48">
        <v>39423</v>
      </c>
      <c r="G23" s="39"/>
      <c r="H23" s="39"/>
    </row>
    <row r="24" spans="1:8" s="27" customFormat="1" ht="22.5">
      <c r="A24" s="37">
        <v>83500</v>
      </c>
      <c r="B24" s="37" t="s">
        <v>108</v>
      </c>
      <c r="C24" s="59">
        <v>430</v>
      </c>
      <c r="D24" s="38">
        <f t="shared" si="1"/>
        <v>17.551020408163264</v>
      </c>
      <c r="E24" s="37" t="s">
        <v>109</v>
      </c>
      <c r="F24" s="48">
        <v>39424</v>
      </c>
      <c r="G24" s="39"/>
      <c r="H24" s="39"/>
    </row>
    <row r="25" spans="1:8" s="27" customFormat="1" ht="11.25">
      <c r="A25" s="37"/>
      <c r="B25" s="37" t="s">
        <v>112</v>
      </c>
      <c r="C25" s="59">
        <f>2633+1550</f>
        <v>4183</v>
      </c>
      <c r="D25" s="38">
        <f t="shared" si="1"/>
        <v>170.73469387755102</v>
      </c>
      <c r="E25" s="37" t="s">
        <v>111</v>
      </c>
      <c r="F25" s="48">
        <v>39428</v>
      </c>
      <c r="G25" s="39"/>
      <c r="H25" s="39"/>
    </row>
    <row r="26" spans="1:8" s="27" customFormat="1" ht="11.25">
      <c r="A26" s="37"/>
      <c r="B26" s="37" t="s">
        <v>113</v>
      </c>
      <c r="C26" s="59">
        <v>177.27</v>
      </c>
      <c r="D26" s="38">
        <f t="shared" si="1"/>
        <v>7.235510204081633</v>
      </c>
      <c r="E26" s="37"/>
      <c r="F26" s="48">
        <v>39456</v>
      </c>
      <c r="G26" s="39"/>
      <c r="H26" s="39"/>
    </row>
    <row r="27" spans="1:8" s="27" customFormat="1" ht="22.5">
      <c r="A27" s="37"/>
      <c r="B27" s="37" t="s">
        <v>114</v>
      </c>
      <c r="C27" s="59">
        <v>60</v>
      </c>
      <c r="D27" s="38">
        <f t="shared" si="1"/>
        <v>2.4489795918367347</v>
      </c>
      <c r="E27" s="37"/>
      <c r="F27" s="48">
        <v>39456</v>
      </c>
      <c r="G27" s="39"/>
      <c r="H27" s="39"/>
    </row>
    <row r="28" spans="1:8" s="27" customFormat="1" ht="11.25">
      <c r="A28" s="37"/>
      <c r="B28" s="37" t="s">
        <v>115</v>
      </c>
      <c r="C28" s="59">
        <v>1000</v>
      </c>
      <c r="D28" s="38">
        <f t="shared" si="1"/>
        <v>40.816326530612244</v>
      </c>
      <c r="E28" s="37"/>
      <c r="F28" s="48">
        <v>39477</v>
      </c>
      <c r="G28" s="39"/>
      <c r="H28" s="39"/>
    </row>
    <row r="29" spans="1:8" s="27" customFormat="1" ht="11.25">
      <c r="A29" s="37"/>
      <c r="B29" s="37" t="s">
        <v>116</v>
      </c>
      <c r="C29" s="59">
        <v>150</v>
      </c>
      <c r="D29" s="38">
        <f>C29/24</f>
        <v>6.25</v>
      </c>
      <c r="E29" s="37"/>
      <c r="F29" s="48">
        <v>39532</v>
      </c>
      <c r="G29" s="39"/>
      <c r="H29" s="39"/>
    </row>
    <row r="30" spans="1:8" s="27" customFormat="1" ht="11.25">
      <c r="A30" s="37">
        <v>87633</v>
      </c>
      <c r="B30" s="37" t="s">
        <v>59</v>
      </c>
      <c r="C30" s="59">
        <v>1</v>
      </c>
      <c r="D30" s="38">
        <f>C30/24</f>
        <v>0.041666666666666664</v>
      </c>
      <c r="E30" s="37"/>
      <c r="F30" s="48">
        <v>39539</v>
      </c>
      <c r="G30" s="39"/>
      <c r="H30" s="39"/>
    </row>
    <row r="31" spans="1:8" s="27" customFormat="1" ht="11.25">
      <c r="A31" s="37"/>
      <c r="B31" s="37" t="s">
        <v>117</v>
      </c>
      <c r="C31" s="59">
        <v>300</v>
      </c>
      <c r="D31" s="38">
        <f>C31/24</f>
        <v>12.5</v>
      </c>
      <c r="E31" s="37"/>
      <c r="F31" s="48">
        <v>39546</v>
      </c>
      <c r="G31" s="39"/>
      <c r="H31" s="39"/>
    </row>
    <row r="32" spans="1:8" s="27" customFormat="1" ht="11.25">
      <c r="A32" s="37">
        <v>90109</v>
      </c>
      <c r="B32" s="37" t="s">
        <v>119</v>
      </c>
      <c r="C32" s="59">
        <v>900</v>
      </c>
      <c r="D32" s="38">
        <f>C32/24</f>
        <v>37.5</v>
      </c>
      <c r="E32" s="37"/>
      <c r="F32" s="48">
        <v>39604</v>
      </c>
      <c r="G32" s="39"/>
      <c r="H32" s="39"/>
    </row>
    <row r="33" spans="1:8" s="27" customFormat="1" ht="11.25">
      <c r="A33" s="37">
        <v>92500</v>
      </c>
      <c r="B33" s="37" t="s">
        <v>120</v>
      </c>
      <c r="C33" s="59">
        <v>4500</v>
      </c>
      <c r="D33" s="38">
        <f>C33/25</f>
        <v>180</v>
      </c>
      <c r="E33" s="37" t="s">
        <v>121</v>
      </c>
      <c r="F33" s="48">
        <v>39696</v>
      </c>
      <c r="G33" s="39"/>
      <c r="H33" s="39"/>
    </row>
    <row r="34" spans="1:8" s="27" customFormat="1" ht="11.25">
      <c r="A34" s="37">
        <v>94450</v>
      </c>
      <c r="B34" s="37" t="s">
        <v>58</v>
      </c>
      <c r="C34" s="59">
        <v>1</v>
      </c>
      <c r="D34" s="38">
        <f>C34/30</f>
        <v>0.03333333333333333</v>
      </c>
      <c r="E34" s="37"/>
      <c r="F34" s="48">
        <v>39756</v>
      </c>
      <c r="G34" s="39"/>
      <c r="H34" s="39"/>
    </row>
    <row r="35" spans="1:8" s="27" customFormat="1" ht="22.5">
      <c r="A35" s="37"/>
      <c r="B35" s="37" t="s">
        <v>123</v>
      </c>
      <c r="C35" s="59">
        <v>230</v>
      </c>
      <c r="D35" s="38">
        <f>C35/335</f>
        <v>0.6865671641791045</v>
      </c>
      <c r="E35" s="37"/>
      <c r="F35" s="48">
        <v>39818</v>
      </c>
      <c r="G35" s="39"/>
      <c r="H35" s="39"/>
    </row>
    <row r="36" spans="1:8" s="27" customFormat="1" ht="11.25">
      <c r="A36" s="37"/>
      <c r="B36" s="37" t="s">
        <v>122</v>
      </c>
      <c r="C36" s="59">
        <v>463</v>
      </c>
      <c r="D36" s="38">
        <f>C36/335</f>
        <v>1.382089552238806</v>
      </c>
      <c r="E36" s="37" t="s">
        <v>99</v>
      </c>
      <c r="F36" s="48">
        <v>39818</v>
      </c>
      <c r="G36" s="39"/>
      <c r="H36" s="39"/>
    </row>
    <row r="37" spans="1:8" s="27" customFormat="1" ht="11.25">
      <c r="A37" s="37"/>
      <c r="B37" s="37" t="s">
        <v>124</v>
      </c>
      <c r="C37" s="59">
        <v>7004</v>
      </c>
      <c r="D37" s="38">
        <f>C37/335</f>
        <v>20.907462686567165</v>
      </c>
      <c r="E37" s="37"/>
      <c r="F37" s="48">
        <v>39834</v>
      </c>
      <c r="G37" s="39"/>
      <c r="H37" s="39"/>
    </row>
    <row r="38" spans="1:8" s="27" customFormat="1" ht="11.25">
      <c r="A38" s="37"/>
      <c r="B38" s="37" t="s">
        <v>125</v>
      </c>
      <c r="C38" s="59">
        <v>200</v>
      </c>
      <c r="D38" s="38">
        <f>C38/335</f>
        <v>0.5970149253731343</v>
      </c>
      <c r="E38" s="37"/>
      <c r="F38" s="48">
        <v>39834</v>
      </c>
      <c r="G38" s="39"/>
      <c r="H38" s="39"/>
    </row>
    <row r="39" spans="1:8" s="27" customFormat="1" ht="11.25">
      <c r="A39" s="37"/>
      <c r="B39" s="37" t="s">
        <v>126</v>
      </c>
      <c r="C39" s="59">
        <v>580</v>
      </c>
      <c r="D39" s="38">
        <f>C39/335</f>
        <v>1.7313432835820894</v>
      </c>
      <c r="E39" s="37"/>
      <c r="F39" s="48">
        <v>39834</v>
      </c>
      <c r="G39" s="39"/>
      <c r="H39" s="39"/>
    </row>
    <row r="40" spans="1:8" s="27" customFormat="1" ht="11.25">
      <c r="A40" s="37"/>
      <c r="B40" s="37" t="s">
        <v>127</v>
      </c>
      <c r="C40" s="59">
        <f>1700*4+900</f>
        <v>7700</v>
      </c>
      <c r="D40" s="38">
        <f>C40/33</f>
        <v>233.33333333333334</v>
      </c>
      <c r="E40" s="37" t="s">
        <v>128</v>
      </c>
      <c r="F40" s="48">
        <v>39921</v>
      </c>
      <c r="G40" s="39"/>
      <c r="H40" s="39"/>
    </row>
    <row r="41" spans="1:8" s="27" customFormat="1" ht="11.25">
      <c r="A41" s="37">
        <v>99575</v>
      </c>
      <c r="B41" s="37" t="s">
        <v>59</v>
      </c>
      <c r="C41" s="59">
        <v>1</v>
      </c>
      <c r="D41" s="38">
        <f>C41/33</f>
        <v>0.030303030303030304</v>
      </c>
      <c r="E41" s="37"/>
      <c r="F41" s="48">
        <v>39921</v>
      </c>
      <c r="G41" s="39"/>
      <c r="H41" s="39"/>
    </row>
    <row r="42" spans="1:8" s="27" customFormat="1" ht="11.25">
      <c r="A42" s="37"/>
      <c r="B42" s="37" t="s">
        <v>125</v>
      </c>
      <c r="C42" s="59">
        <v>300</v>
      </c>
      <c r="D42" s="38">
        <f>C42/34</f>
        <v>8.823529411764707</v>
      </c>
      <c r="E42" s="37"/>
      <c r="F42" s="48">
        <v>39938</v>
      </c>
      <c r="G42" s="39"/>
      <c r="H42" s="39"/>
    </row>
    <row r="43" spans="1:8" s="27" customFormat="1" ht="11.25">
      <c r="A43" s="138">
        <v>103600</v>
      </c>
      <c r="B43" s="138" t="s">
        <v>129</v>
      </c>
      <c r="C43" s="139">
        <f>I1-185000</f>
        <v>42100</v>
      </c>
      <c r="D43" s="140">
        <f>H1-(185000/30)</f>
        <v>2333.333333333333</v>
      </c>
      <c r="E43" s="138"/>
      <c r="F43" s="141">
        <v>40081</v>
      </c>
      <c r="G43" s="39"/>
      <c r="H43" s="39"/>
    </row>
    <row r="44" spans="1:8" s="27" customFormat="1" ht="11.25">
      <c r="A44" s="37"/>
      <c r="B44" s="37"/>
      <c r="C44" s="59"/>
      <c r="D44" s="38"/>
      <c r="E44" s="37"/>
      <c r="F44" s="48"/>
      <c r="G44" s="39"/>
      <c r="H44" s="39"/>
    </row>
    <row r="45" spans="1:8" s="27" customFormat="1" ht="11.25">
      <c r="A45" s="63"/>
      <c r="B45" s="65" t="s">
        <v>28</v>
      </c>
      <c r="C45" s="66">
        <f>SUM(C2:C44)</f>
        <v>86404.405</v>
      </c>
      <c r="D45" s="67">
        <f>SUM(D2:D44)</f>
        <v>3680.4295855002465</v>
      </c>
      <c r="E45" s="63"/>
      <c r="F45" s="64"/>
      <c r="G45" s="39"/>
      <c r="H45" s="39"/>
    </row>
    <row r="46" spans="2:8" s="27" customFormat="1" ht="11.25">
      <c r="B46" s="35"/>
      <c r="C46" s="57"/>
      <c r="E46" s="35"/>
      <c r="F46" s="48"/>
      <c r="G46" s="39"/>
      <c r="H46" s="42"/>
    </row>
    <row r="47" spans="1:8" s="27" customFormat="1" ht="11.25">
      <c r="A47" s="37"/>
      <c r="B47" s="96" t="s">
        <v>29</v>
      </c>
      <c r="C47" s="97">
        <f>C45/(MAX(A:A,Топливо!B:B)-68448)+Топливо!H6</f>
        <v>3.9323032387893697</v>
      </c>
      <c r="D47" s="98">
        <f>D45/(MAX(A:A,Топливо!B:B)-68448)+Топливо!H7</f>
        <v>0.16087303964245106</v>
      </c>
      <c r="E47" s="37"/>
      <c r="F47" s="48"/>
      <c r="G47" s="39"/>
      <c r="H47" s="39"/>
    </row>
    <row r="48" spans="1:8" s="27" customFormat="1" ht="11.25">
      <c r="A48" s="37"/>
      <c r="B48" s="37"/>
      <c r="C48" s="56"/>
      <c r="D48" s="38"/>
      <c r="E48" s="37"/>
      <c r="F48" s="48"/>
      <c r="G48" s="39"/>
      <c r="H48" s="39"/>
    </row>
    <row r="49" spans="1:8" s="27" customFormat="1" ht="11.25">
      <c r="A49" s="37"/>
      <c r="B49" s="37"/>
      <c r="C49" s="56"/>
      <c r="D49" s="38"/>
      <c r="E49" s="37"/>
      <c r="F49" s="48"/>
      <c r="G49" s="39"/>
      <c r="H49" s="39"/>
    </row>
    <row r="50" spans="1:8" s="27" customFormat="1" ht="11.25">
      <c r="A50" s="37"/>
      <c r="B50" s="37"/>
      <c r="C50" s="56"/>
      <c r="D50" s="38"/>
      <c r="E50" s="40"/>
      <c r="F50" s="48"/>
      <c r="G50" s="39"/>
      <c r="H50" s="39"/>
    </row>
    <row r="51" spans="1:8" s="27" customFormat="1" ht="11.25">
      <c r="A51" s="37"/>
      <c r="B51" s="37"/>
      <c r="C51" s="56"/>
      <c r="D51" s="38"/>
      <c r="E51" s="37"/>
      <c r="F51" s="48"/>
      <c r="G51" s="39"/>
      <c r="H51" s="39"/>
    </row>
    <row r="52" spans="1:8" s="27" customFormat="1" ht="11.25">
      <c r="A52" s="37"/>
      <c r="B52" s="37"/>
      <c r="C52" s="56"/>
      <c r="D52" s="38"/>
      <c r="E52" s="37"/>
      <c r="F52" s="48"/>
      <c r="G52" s="39"/>
      <c r="H52" s="39"/>
    </row>
    <row r="53" spans="1:8" s="27" customFormat="1" ht="11.25">
      <c r="A53" s="37"/>
      <c r="B53" s="37"/>
      <c r="C53" s="56"/>
      <c r="D53" s="38"/>
      <c r="E53" s="37"/>
      <c r="F53" s="48"/>
      <c r="G53" s="39"/>
      <c r="H53" s="39"/>
    </row>
    <row r="54" spans="1:8" s="27" customFormat="1" ht="11.25">
      <c r="A54" s="37"/>
      <c r="B54" s="37"/>
      <c r="C54" s="56"/>
      <c r="D54" s="38"/>
      <c r="E54" s="40"/>
      <c r="F54" s="48"/>
      <c r="G54" s="39"/>
      <c r="H54" s="39"/>
    </row>
    <row r="55" spans="1:8" s="27" customFormat="1" ht="11.25">
      <c r="A55" s="37"/>
      <c r="B55" s="37"/>
      <c r="C55" s="56"/>
      <c r="D55" s="38"/>
      <c r="E55" s="40"/>
      <c r="F55" s="48"/>
      <c r="G55" s="39"/>
      <c r="H55" s="39"/>
    </row>
    <row r="56" spans="1:8" s="27" customFormat="1" ht="11.25">
      <c r="A56" s="40"/>
      <c r="B56" s="37"/>
      <c r="C56" s="56"/>
      <c r="D56" s="30"/>
      <c r="E56" s="40"/>
      <c r="F56" s="48"/>
      <c r="G56" s="39"/>
      <c r="H56" s="39"/>
    </row>
    <row r="57" spans="1:8" s="27" customFormat="1" ht="11.25">
      <c r="A57" s="40"/>
      <c r="B57" s="37"/>
      <c r="C57" s="56"/>
      <c r="D57" s="30"/>
      <c r="E57" s="40"/>
      <c r="F57" s="48"/>
      <c r="G57" s="39"/>
      <c r="H57" s="39"/>
    </row>
    <row r="58" spans="1:8" s="27" customFormat="1" ht="11.25">
      <c r="A58" s="40"/>
      <c r="B58" s="37"/>
      <c r="C58" s="56"/>
      <c r="D58" s="30"/>
      <c r="E58" s="40"/>
      <c r="F58" s="48"/>
      <c r="G58" s="39"/>
      <c r="H58" s="39"/>
    </row>
    <row r="59" spans="1:8" s="27" customFormat="1" ht="11.25">
      <c r="A59" s="40"/>
      <c r="B59" s="37"/>
      <c r="C59" s="56"/>
      <c r="D59" s="30"/>
      <c r="E59" s="40"/>
      <c r="F59" s="48"/>
      <c r="G59" s="39"/>
      <c r="H59" s="39"/>
    </row>
    <row r="60" spans="1:8" s="27" customFormat="1" ht="11.25">
      <c r="A60" s="40"/>
      <c r="B60" s="37"/>
      <c r="C60" s="56"/>
      <c r="D60" s="30"/>
      <c r="E60" s="40"/>
      <c r="F60" s="48"/>
      <c r="G60" s="39"/>
      <c r="H60" s="39"/>
    </row>
    <row r="61" spans="1:8" s="27" customFormat="1" ht="11.25">
      <c r="A61" s="40"/>
      <c r="B61" s="37"/>
      <c r="C61" s="56"/>
      <c r="D61" s="30"/>
      <c r="E61" s="40"/>
      <c r="F61" s="48"/>
      <c r="G61" s="39"/>
      <c r="H61" s="39"/>
    </row>
    <row r="62" spans="1:8" s="27" customFormat="1" ht="11.25">
      <c r="A62" s="40"/>
      <c r="B62" s="37"/>
      <c r="C62" s="37"/>
      <c r="D62" s="30"/>
      <c r="E62" s="40"/>
      <c r="F62" s="48"/>
      <c r="G62" s="39"/>
      <c r="H62" s="39"/>
    </row>
    <row r="63" spans="1:8" s="27" customFormat="1" ht="11.25">
      <c r="A63" s="40"/>
      <c r="B63" s="37"/>
      <c r="C63" s="37"/>
      <c r="D63" s="30"/>
      <c r="E63" s="40"/>
      <c r="F63" s="36"/>
      <c r="G63" s="39"/>
      <c r="H63" s="39"/>
    </row>
    <row r="64" spans="1:8" s="27" customFormat="1" ht="11.25">
      <c r="A64" s="40"/>
      <c r="B64" s="37"/>
      <c r="C64" s="37"/>
      <c r="D64" s="30"/>
      <c r="E64" s="40"/>
      <c r="F64" s="36"/>
      <c r="G64" s="39"/>
      <c r="H64" s="39"/>
    </row>
    <row r="65" spans="1:8" s="27" customFormat="1" ht="11.25">
      <c r="A65" s="40"/>
      <c r="B65" s="37"/>
      <c r="C65" s="37"/>
      <c r="D65" s="30"/>
      <c r="E65" s="40"/>
      <c r="F65" s="36"/>
      <c r="G65" s="39"/>
      <c r="H65" s="39"/>
    </row>
    <row r="66" spans="1:8" s="27" customFormat="1" ht="11.25">
      <c r="A66" s="40"/>
      <c r="B66" s="37"/>
      <c r="C66" s="37"/>
      <c r="D66" s="30"/>
      <c r="E66" s="40"/>
      <c r="F66" s="36"/>
      <c r="G66" s="39"/>
      <c r="H66" s="39"/>
    </row>
    <row r="67" spans="1:8" s="27" customFormat="1" ht="11.25">
      <c r="A67" s="40"/>
      <c r="B67" s="37"/>
      <c r="C67" s="37"/>
      <c r="D67" s="30"/>
      <c r="E67" s="40"/>
      <c r="F67" s="36"/>
      <c r="G67" s="39"/>
      <c r="H67" s="39"/>
    </row>
    <row r="68" spans="1:8" s="27" customFormat="1" ht="11.25">
      <c r="A68" s="40"/>
      <c r="B68" s="37"/>
      <c r="C68" s="37"/>
      <c r="D68" s="30"/>
      <c r="E68" s="35"/>
      <c r="F68" s="36"/>
      <c r="G68" s="39"/>
      <c r="H68" s="39"/>
    </row>
    <row r="69" spans="1:8" s="27" customFormat="1" ht="11.25">
      <c r="A69" s="40"/>
      <c r="B69" s="37"/>
      <c r="C69" s="37"/>
      <c r="D69" s="30"/>
      <c r="E69" s="35"/>
      <c r="F69" s="36"/>
      <c r="G69" s="39"/>
      <c r="H69" s="39"/>
    </row>
    <row r="70" spans="1:8" s="27" customFormat="1" ht="11.25">
      <c r="A70" s="40"/>
      <c r="B70" s="37"/>
      <c r="C70" s="37"/>
      <c r="D70" s="30"/>
      <c r="E70" s="35"/>
      <c r="F70" s="36"/>
      <c r="G70" s="39"/>
      <c r="H70" s="39"/>
    </row>
    <row r="71" spans="1:8" s="27" customFormat="1" ht="11.25">
      <c r="A71" s="40"/>
      <c r="B71" s="37"/>
      <c r="C71" s="37"/>
      <c r="D71" s="30"/>
      <c r="E71" s="35"/>
      <c r="F71" s="36"/>
      <c r="G71" s="39"/>
      <c r="H71" s="39"/>
    </row>
    <row r="72" spans="1:8" s="27" customFormat="1" ht="11.25">
      <c r="A72" s="40"/>
      <c r="B72" s="37"/>
      <c r="C72" s="37"/>
      <c r="D72" s="30"/>
      <c r="E72" s="35"/>
      <c r="F72" s="36"/>
      <c r="G72" s="39"/>
      <c r="H72" s="42"/>
    </row>
    <row r="73" spans="1:8" s="27" customFormat="1" ht="11.25">
      <c r="A73" s="40"/>
      <c r="B73" s="37"/>
      <c r="C73" s="37"/>
      <c r="D73" s="30"/>
      <c r="E73" s="35"/>
      <c r="F73" s="36"/>
      <c r="G73" s="39"/>
      <c r="H73" s="39"/>
    </row>
    <row r="74" spans="1:8" s="27" customFormat="1" ht="11.25">
      <c r="A74" s="40"/>
      <c r="B74" s="37"/>
      <c r="C74" s="37"/>
      <c r="D74" s="30"/>
      <c r="E74" s="35"/>
      <c r="F74" s="36"/>
      <c r="G74" s="39"/>
      <c r="H74" s="39"/>
    </row>
    <row r="75" spans="1:8" s="27" customFormat="1" ht="11.25">
      <c r="A75" s="40"/>
      <c r="B75" s="37"/>
      <c r="C75" s="37"/>
      <c r="D75" s="30"/>
      <c r="E75" s="35"/>
      <c r="F75" s="36"/>
      <c r="G75" s="39"/>
      <c r="H75" s="39"/>
    </row>
    <row r="76" spans="1:6" ht="11.25">
      <c r="A76" s="5"/>
      <c r="B76" s="3"/>
      <c r="C76" s="3"/>
      <c r="D76" s="11"/>
      <c r="F76" s="12"/>
    </row>
    <row r="77" spans="1:6" ht="11.25">
      <c r="A77" s="5"/>
      <c r="B77" s="3"/>
      <c r="C77" s="3"/>
      <c r="D77" s="11"/>
      <c r="E77" s="3"/>
      <c r="F77" s="12"/>
    </row>
    <row r="78" spans="1:6" ht="11.25">
      <c r="A78" s="5"/>
      <c r="B78" s="3"/>
      <c r="C78" s="3"/>
      <c r="D78" s="11"/>
      <c r="F78" s="12"/>
    </row>
    <row r="79" spans="1:6" ht="11.25">
      <c r="A79" s="5"/>
      <c r="B79" s="3"/>
      <c r="C79" s="3"/>
      <c r="D79" s="11"/>
      <c r="F79" s="12"/>
    </row>
    <row r="80" spans="1:6" ht="11.25">
      <c r="A80" s="5"/>
      <c r="B80" s="3"/>
      <c r="C80" s="3"/>
      <c r="D80" s="11"/>
      <c r="F80" s="12"/>
    </row>
    <row r="81" spans="1:6" ht="11.25">
      <c r="A81" s="5"/>
      <c r="B81" s="3"/>
      <c r="C81" s="3"/>
      <c r="D81" s="11"/>
      <c r="F81" s="12"/>
    </row>
    <row r="82" spans="1:6" ht="11.25">
      <c r="A82" s="5"/>
      <c r="B82" s="3"/>
      <c r="C82" s="3"/>
      <c r="D82" s="11"/>
      <c r="F82" s="12"/>
    </row>
    <row r="83" spans="1:6" ht="11.25">
      <c r="A83" s="5"/>
      <c r="B83" s="18"/>
      <c r="C83" s="18"/>
      <c r="D83" s="11"/>
      <c r="F83" s="12"/>
    </row>
    <row r="84" spans="1:6" ht="11.25">
      <c r="A84" s="5"/>
      <c r="B84" s="18"/>
      <c r="C84" s="18"/>
      <c r="D84" s="11"/>
      <c r="F84" s="12"/>
    </row>
    <row r="85" spans="1:6" ht="11.25">
      <c r="A85" s="5"/>
      <c r="B85" s="18"/>
      <c r="C85" s="18"/>
      <c r="D85" s="11"/>
      <c r="E85" s="3"/>
      <c r="F85" s="12"/>
    </row>
    <row r="86" spans="1:6" ht="11.25">
      <c r="A86" s="5"/>
      <c r="B86" s="18"/>
      <c r="C86" s="18"/>
      <c r="D86" s="11"/>
      <c r="E86" s="3"/>
      <c r="F86" s="12"/>
    </row>
    <row r="87" spans="1:6" ht="11.25">
      <c r="A87" s="5"/>
      <c r="B87" s="3"/>
      <c r="C87" s="3"/>
      <c r="D87" s="11"/>
      <c r="E87" s="3"/>
      <c r="F87" s="12"/>
    </row>
    <row r="88" spans="1:6" ht="11.25">
      <c r="A88" s="5"/>
      <c r="B88" s="18"/>
      <c r="C88" s="18"/>
      <c r="D88" s="11"/>
      <c r="E88" s="3"/>
      <c r="F88" s="12"/>
    </row>
    <row r="89" spans="1:6" ht="11.25">
      <c r="A89" s="5"/>
      <c r="B89" s="18"/>
      <c r="C89" s="18"/>
      <c r="D89" s="11"/>
      <c r="E89" s="3"/>
      <c r="F89" s="12"/>
    </row>
    <row r="90" spans="1:6" ht="11.25">
      <c r="A90" s="5"/>
      <c r="B90" s="18"/>
      <c r="C90" s="18"/>
      <c r="D90" s="11"/>
      <c r="E90" s="3"/>
      <c r="F90" s="12"/>
    </row>
    <row r="91" spans="1:6" ht="11.25">
      <c r="A91" s="5"/>
      <c r="B91" s="18"/>
      <c r="C91" s="18"/>
      <c r="D91" s="11"/>
      <c r="E91" s="3"/>
      <c r="F91" s="12"/>
    </row>
    <row r="92" spans="1:6" ht="11.25">
      <c r="A92" s="5"/>
      <c r="B92" s="3"/>
      <c r="C92" s="3"/>
      <c r="D92" s="11"/>
      <c r="E92" s="3"/>
      <c r="F92" s="12"/>
    </row>
    <row r="93" spans="1:6" ht="11.25">
      <c r="A93" s="5"/>
      <c r="B93" s="18"/>
      <c r="C93" s="18"/>
      <c r="D93" s="11"/>
      <c r="E93" s="3"/>
      <c r="F93" s="12"/>
    </row>
    <row r="94" spans="1:8" s="13" customFormat="1" ht="11.25">
      <c r="A94" s="17"/>
      <c r="B94" s="17"/>
      <c r="C94" s="17"/>
      <c r="D94" s="17"/>
      <c r="E94" s="17"/>
      <c r="F94" s="17"/>
      <c r="G94" s="39"/>
      <c r="H94" s="42"/>
    </row>
    <row r="95" spans="2:6" ht="11.25">
      <c r="B95" s="3"/>
      <c r="C95" s="3"/>
      <c r="D95" s="11"/>
      <c r="E95" s="3"/>
      <c r="F95" s="12"/>
    </row>
    <row r="96" spans="2:6" ht="11.25">
      <c r="B96" s="3"/>
      <c r="C96" s="3"/>
      <c r="D96" s="11"/>
      <c r="E96" s="3"/>
      <c r="F96" s="12"/>
    </row>
    <row r="97" spans="2:6" ht="11.25">
      <c r="B97" s="3"/>
      <c r="C97" s="3"/>
      <c r="D97" s="11"/>
      <c r="E97" s="3"/>
      <c r="F97" s="12"/>
    </row>
    <row r="98" spans="2:6" ht="11.25">
      <c r="B98" s="3"/>
      <c r="C98" s="3"/>
      <c r="D98" s="11"/>
      <c r="E98" s="3"/>
      <c r="F98" s="12"/>
    </row>
    <row r="99" spans="2:11" ht="11.25">
      <c r="B99" s="3"/>
      <c r="C99" s="3"/>
      <c r="D99" s="11"/>
      <c r="E99" s="3"/>
      <c r="F99" s="12"/>
      <c r="K99" s="27"/>
    </row>
    <row r="100" spans="2:6" ht="11.25">
      <c r="B100" s="3"/>
      <c r="C100" s="3"/>
      <c r="D100" s="11"/>
      <c r="E100" s="3"/>
      <c r="F100" s="12"/>
    </row>
    <row r="101" spans="2:6" ht="11.25">
      <c r="B101" s="3"/>
      <c r="C101" s="3"/>
      <c r="D101" s="11"/>
      <c r="E101" s="3"/>
      <c r="F101" s="12"/>
    </row>
    <row r="102" spans="2:6" ht="11.25">
      <c r="B102" s="3"/>
      <c r="C102" s="3"/>
      <c r="D102" s="11"/>
      <c r="E102" s="3"/>
      <c r="F102" s="12"/>
    </row>
    <row r="103" spans="2:6" ht="11.25">
      <c r="B103" s="3"/>
      <c r="C103" s="3"/>
      <c r="D103" s="11"/>
      <c r="E103" s="3"/>
      <c r="F103" s="12"/>
    </row>
    <row r="104" spans="2:6" ht="11.25">
      <c r="B104" s="3"/>
      <c r="C104" s="3"/>
      <c r="D104" s="11"/>
      <c r="E104" s="3"/>
      <c r="F104" s="12"/>
    </row>
    <row r="105" spans="2:6" ht="11.25">
      <c r="B105" s="3"/>
      <c r="C105" s="3"/>
      <c r="D105" s="11"/>
      <c r="E105" s="3"/>
      <c r="F105" s="12"/>
    </row>
    <row r="106" spans="2:6" ht="11.25">
      <c r="B106" s="3"/>
      <c r="C106" s="3"/>
      <c r="D106" s="11"/>
      <c r="E106" s="3"/>
      <c r="F106" s="12"/>
    </row>
    <row r="107" spans="2:6" ht="11.25">
      <c r="B107" s="3"/>
      <c r="C107" s="3"/>
      <c r="D107" s="11"/>
      <c r="E107" s="3"/>
      <c r="F107" s="12"/>
    </row>
    <row r="108" spans="2:6" ht="11.25">
      <c r="B108" s="3"/>
      <c r="C108" s="3"/>
      <c r="D108" s="11"/>
      <c r="E108" s="3"/>
      <c r="F108" s="12"/>
    </row>
    <row r="109" spans="2:6" ht="11.25">
      <c r="B109" s="3"/>
      <c r="C109" s="3"/>
      <c r="D109" s="11"/>
      <c r="E109" s="3"/>
      <c r="F109" s="12"/>
    </row>
    <row r="110" spans="2:6" ht="11.25">
      <c r="B110" s="3"/>
      <c r="C110" s="3"/>
      <c r="D110" s="11"/>
      <c r="E110" s="3"/>
      <c r="F110" s="12"/>
    </row>
    <row r="111" spans="5:6" ht="11.25">
      <c r="E111" s="3"/>
      <c r="F111" s="12"/>
    </row>
    <row r="112" spans="4:6" ht="11.25">
      <c r="D112" s="11"/>
      <c r="F112" s="12"/>
    </row>
    <row r="113" spans="1:8" s="13" customFormat="1" ht="11.25">
      <c r="A113" s="17"/>
      <c r="B113" s="17"/>
      <c r="C113" s="17"/>
      <c r="D113" s="17"/>
      <c r="E113" s="17"/>
      <c r="F113" s="17"/>
      <c r="G113" s="39"/>
      <c r="H113" s="42"/>
    </row>
    <row r="114" spans="1:8" s="27" customFormat="1" ht="11.25">
      <c r="A114" s="4"/>
      <c r="B114" s="3"/>
      <c r="C114" s="3"/>
      <c r="D114" s="11"/>
      <c r="E114" s="3"/>
      <c r="F114" s="12"/>
      <c r="G114" s="39"/>
      <c r="H114" s="42"/>
    </row>
    <row r="115" spans="1:8" s="27" customFormat="1" ht="11.25">
      <c r="A115" s="31"/>
      <c r="B115" s="2"/>
      <c r="C115" s="2"/>
      <c r="D115" s="32"/>
      <c r="E115" s="2"/>
      <c r="F115" s="33"/>
      <c r="G115" s="43"/>
      <c r="H115" s="42"/>
    </row>
    <row r="116" spans="1:8" s="27" customFormat="1" ht="11.25">
      <c r="A116" s="4"/>
      <c r="B116" s="3"/>
      <c r="C116" s="3"/>
      <c r="D116" s="11"/>
      <c r="E116" s="3"/>
      <c r="F116" s="12"/>
      <c r="G116" s="39"/>
      <c r="H116" s="42"/>
    </row>
    <row r="117" spans="1:8" s="13" customFormat="1" ht="11.25">
      <c r="A117" s="17"/>
      <c r="B117" s="17"/>
      <c r="C117" s="17"/>
      <c r="D117" s="17"/>
      <c r="E117" s="17"/>
      <c r="F117" s="17"/>
      <c r="G117" s="39"/>
      <c r="H117" s="42"/>
    </row>
    <row r="118" spans="1:8" s="27" customFormat="1" ht="11.25">
      <c r="A118" s="4"/>
      <c r="B118" s="3"/>
      <c r="C118" s="3"/>
      <c r="D118" s="11"/>
      <c r="E118" s="3"/>
      <c r="F118" s="12"/>
      <c r="G118" s="39"/>
      <c r="H118" s="42"/>
    </row>
    <row r="119" spans="1:8" s="27" customFormat="1" ht="11.25">
      <c r="A119" s="30"/>
      <c r="B119" s="30"/>
      <c r="C119" s="30"/>
      <c r="D119" s="30"/>
      <c r="E119" s="30"/>
      <c r="F119" s="30"/>
      <c r="G119" s="39"/>
      <c r="H119" s="42"/>
    </row>
    <row r="120" spans="1:5" ht="11.25">
      <c r="A120" s="5"/>
      <c r="B120" s="8"/>
      <c r="C120" s="8"/>
      <c r="D120" s="14"/>
      <c r="E120" s="8"/>
    </row>
    <row r="121" spans="2:7" ht="11.25">
      <c r="B121" s="6"/>
      <c r="C121" s="6"/>
      <c r="D121" s="6"/>
      <c r="E121" s="6"/>
      <c r="G121" s="45"/>
    </row>
    <row r="122" spans="2:7" ht="11.25">
      <c r="B122" s="6"/>
      <c r="C122" s="6"/>
      <c r="D122" s="6"/>
      <c r="E122" s="6"/>
      <c r="G122" s="45"/>
    </row>
    <row r="123" spans="7:8" ht="11.25">
      <c r="G123" s="46"/>
      <c r="H123" s="46"/>
    </row>
    <row r="124" spans="2:8" ht="11.25">
      <c r="B124" s="34"/>
      <c r="C124" s="34"/>
      <c r="D124" s="34"/>
      <c r="E124" s="34"/>
      <c r="G124" s="47"/>
      <c r="H124" s="47"/>
    </row>
    <row r="125" spans="7:8" ht="11.25">
      <c r="G125" s="47"/>
      <c r="H125" s="47"/>
    </row>
    <row r="126" spans="7:8" ht="11.25">
      <c r="G126" s="47"/>
      <c r="H126" s="47"/>
    </row>
    <row r="127" spans="7:8" ht="11.25">
      <c r="G127" s="47"/>
      <c r="H127" s="47"/>
    </row>
    <row r="128" spans="7:8" ht="11.25">
      <c r="G128" s="47"/>
      <c r="H128" s="47"/>
    </row>
    <row r="129" ht="11.25">
      <c r="N129" s="23"/>
    </row>
    <row r="136" ht="11.25">
      <c r="N136" s="29">
        <v>38596</v>
      </c>
    </row>
  </sheetData>
  <hyperlinks>
    <hyperlink ref="E6" r:id="rId1" display="www.e-vovik.ru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1">
      <pane ySplit="13" topLeftCell="BM14" activePane="bottomLeft" state="frozen"/>
      <selection pane="topLeft" activeCell="A1" sqref="A1"/>
      <selection pane="bottomLeft" activeCell="D62" sqref="D62:D79"/>
    </sheetView>
  </sheetViews>
  <sheetFormatPr defaultColWidth="9.00390625" defaultRowHeight="12.75"/>
  <cols>
    <col min="1" max="1" width="11.75390625" style="50" customWidth="1"/>
    <col min="2" max="2" width="10.125" style="22" bestFit="1" customWidth="1"/>
    <col min="3" max="3" width="9.125" style="49" customWidth="1"/>
    <col min="4" max="4" width="15.875" style="22" customWidth="1"/>
    <col min="5" max="5" width="7.875" style="77" customWidth="1"/>
    <col min="6" max="6" width="7.875" style="51" customWidth="1"/>
    <col min="7" max="7" width="9.125" style="101" customWidth="1"/>
  </cols>
  <sheetData>
    <row r="1" spans="1:13" ht="12.75">
      <c r="A1" s="61" t="s">
        <v>7</v>
      </c>
      <c r="B1" s="31" t="s">
        <v>4</v>
      </c>
      <c r="C1" s="115" t="s">
        <v>8</v>
      </c>
      <c r="D1" s="24" t="s">
        <v>9</v>
      </c>
      <c r="E1" s="76" t="s">
        <v>21</v>
      </c>
      <c r="F1" s="62" t="s">
        <v>23</v>
      </c>
      <c r="G1" s="99" t="s">
        <v>15</v>
      </c>
      <c r="H1" s="68">
        <f>((SUM(C2:C200))/(MAX(B:B)-B2+420))*100</f>
        <v>7.242357784458325</v>
      </c>
      <c r="I1" s="69" t="s">
        <v>2</v>
      </c>
      <c r="M1" s="25"/>
    </row>
    <row r="2" spans="1:9" ht="12.75">
      <c r="A2" s="50">
        <v>39066</v>
      </c>
      <c r="B2" s="49">
        <v>68448</v>
      </c>
      <c r="C2" s="60"/>
      <c r="D2" s="49"/>
      <c r="G2" s="100"/>
      <c r="H2" s="21">
        <f>SUM(C:C)</f>
        <v>2553.4380840664717</v>
      </c>
      <c r="I2" s="7" t="s">
        <v>10</v>
      </c>
    </row>
    <row r="3" spans="1:9" ht="12.75">
      <c r="A3" s="50">
        <v>39068</v>
      </c>
      <c r="B3" s="49">
        <v>68537</v>
      </c>
      <c r="C3" s="118">
        <v>40.5</v>
      </c>
      <c r="D3" s="35"/>
      <c r="E3" s="77">
        <v>757.35</v>
      </c>
      <c r="F3" s="51">
        <v>26.4</v>
      </c>
      <c r="G3" s="100">
        <f aca="true" t="shared" si="0" ref="G3:G43">E3/F3</f>
        <v>28.687500000000004</v>
      </c>
      <c r="H3" s="94">
        <f>SUM(E2:E200)</f>
        <v>51359.520000000004</v>
      </c>
      <c r="I3" s="16" t="s">
        <v>25</v>
      </c>
    </row>
    <row r="4" spans="1:9" ht="12.75">
      <c r="A4" s="50">
        <v>39088</v>
      </c>
      <c r="B4" s="49">
        <v>68903</v>
      </c>
      <c r="C4" s="118">
        <v>27.4</v>
      </c>
      <c r="D4" s="60">
        <f>(C4)/(B4-B3)*100</f>
        <v>7.4863387978142075</v>
      </c>
      <c r="E4" s="77">
        <v>511</v>
      </c>
      <c r="F4" s="51">
        <v>26.4</v>
      </c>
      <c r="G4" s="100">
        <f t="shared" si="0"/>
        <v>19.356060606060606</v>
      </c>
      <c r="H4" s="95">
        <f>SUM(G2:G200)</f>
        <v>1956.8851326023541</v>
      </c>
      <c r="I4" s="16" t="s">
        <v>26</v>
      </c>
    </row>
    <row r="5" spans="1:9" ht="12.75">
      <c r="A5" s="50">
        <v>39103</v>
      </c>
      <c r="B5" s="49">
        <v>69366</v>
      </c>
      <c r="C5" s="118">
        <v>34.74</v>
      </c>
      <c r="D5" s="60">
        <f aca="true" t="shared" si="1" ref="D5:D68">(C4+C5)/(B5-B3)*100</f>
        <v>7.495778045838359</v>
      </c>
      <c r="E5" s="77">
        <v>660</v>
      </c>
      <c r="F5" s="51">
        <v>26.4</v>
      </c>
      <c r="G5" s="100">
        <f t="shared" si="0"/>
        <v>25</v>
      </c>
      <c r="H5" s="19"/>
      <c r="I5" s="20" t="s">
        <v>6</v>
      </c>
    </row>
    <row r="6" spans="1:9" ht="12.75">
      <c r="A6" s="50">
        <v>39116</v>
      </c>
      <c r="B6" s="49">
        <v>69800</v>
      </c>
      <c r="C6" s="118">
        <v>35.9</v>
      </c>
      <c r="D6" s="60">
        <f t="shared" si="1"/>
        <v>7.875139353400224</v>
      </c>
      <c r="E6" s="77">
        <v>679.05</v>
      </c>
      <c r="F6" s="51">
        <v>26.6</v>
      </c>
      <c r="G6" s="100">
        <f t="shared" si="0"/>
        <v>25.528195488721803</v>
      </c>
      <c r="H6" s="94">
        <f>H3/(MAX(B:B)-68448)</f>
        <v>1.4742807934093063</v>
      </c>
      <c r="I6" s="20" t="s">
        <v>27</v>
      </c>
    </row>
    <row r="7" spans="1:9" ht="12.75">
      <c r="A7" s="50">
        <v>39120</v>
      </c>
      <c r="B7" s="49">
        <v>70337</v>
      </c>
      <c r="C7" s="60">
        <v>26.68</v>
      </c>
      <c r="D7" s="60">
        <f t="shared" si="1"/>
        <v>6.444902162718846</v>
      </c>
      <c r="E7" s="77">
        <v>500</v>
      </c>
      <c r="F7" s="51">
        <v>26.6</v>
      </c>
      <c r="G7" s="100">
        <f t="shared" si="0"/>
        <v>18.796992481203006</v>
      </c>
      <c r="H7" s="95">
        <f>H4/(MAX(B:B)-68448)</f>
        <v>0.05617260764710951</v>
      </c>
      <c r="I7" s="20" t="s">
        <v>11</v>
      </c>
    </row>
    <row r="8" spans="1:7" ht="12.75">
      <c r="A8" s="50">
        <v>39132</v>
      </c>
      <c r="B8" s="49">
        <v>70704</v>
      </c>
      <c r="C8" s="118">
        <v>34.4</v>
      </c>
      <c r="D8" s="60">
        <f t="shared" si="1"/>
        <v>6.756637168141593</v>
      </c>
      <c r="E8" s="77">
        <v>590</v>
      </c>
      <c r="F8" s="51">
        <v>26.4</v>
      </c>
      <c r="G8" s="100">
        <f t="shared" si="0"/>
        <v>22.34848484848485</v>
      </c>
    </row>
    <row r="9" spans="1:7" ht="12.75">
      <c r="A9" s="50">
        <v>39147</v>
      </c>
      <c r="B9" s="49">
        <v>71078</v>
      </c>
      <c r="C9" s="60">
        <v>29.07</v>
      </c>
      <c r="D9" s="60">
        <f t="shared" si="1"/>
        <v>8.565452091767881</v>
      </c>
      <c r="E9" s="77">
        <v>500</v>
      </c>
      <c r="F9" s="51">
        <v>26.3</v>
      </c>
      <c r="G9" s="100">
        <f t="shared" si="0"/>
        <v>19.011406844106464</v>
      </c>
    </row>
    <row r="10" spans="1:9" ht="12.75">
      <c r="A10" s="50">
        <v>39161</v>
      </c>
      <c r="B10" s="49">
        <v>71513</v>
      </c>
      <c r="C10" s="118">
        <v>31.91</v>
      </c>
      <c r="D10" s="60">
        <f t="shared" si="1"/>
        <v>7.53770086526576</v>
      </c>
      <c r="E10" s="77">
        <v>600</v>
      </c>
      <c r="F10" s="51">
        <v>26.2</v>
      </c>
      <c r="G10" s="100">
        <f t="shared" si="0"/>
        <v>22.900763358778626</v>
      </c>
      <c r="H10" s="70"/>
      <c r="I10" s="71"/>
    </row>
    <row r="11" spans="1:9" ht="12.75">
      <c r="A11" s="50">
        <v>39170</v>
      </c>
      <c r="B11" s="49">
        <v>72020</v>
      </c>
      <c r="C11" s="60">
        <v>27.02</v>
      </c>
      <c r="D11" s="60">
        <f t="shared" si="1"/>
        <v>6.25583864118896</v>
      </c>
      <c r="E11" s="77">
        <v>500</v>
      </c>
      <c r="F11" s="51">
        <v>26.1</v>
      </c>
      <c r="G11" s="100">
        <f t="shared" si="0"/>
        <v>19.157088122605362</v>
      </c>
      <c r="H11" s="70"/>
      <c r="I11" s="71"/>
    </row>
    <row r="12" spans="1:9" ht="12.75">
      <c r="A12" s="50">
        <v>39177</v>
      </c>
      <c r="B12" s="22">
        <v>72381</v>
      </c>
      <c r="C12" s="60">
        <v>26.74</v>
      </c>
      <c r="D12" s="60">
        <f t="shared" si="1"/>
        <v>6.193548387096774</v>
      </c>
      <c r="E12" s="77">
        <v>500</v>
      </c>
      <c r="F12" s="51">
        <v>26.1</v>
      </c>
      <c r="G12" s="100">
        <f t="shared" si="0"/>
        <v>19.157088122605362</v>
      </c>
      <c r="H12" s="70"/>
      <c r="I12" s="71"/>
    </row>
    <row r="13" spans="1:7" ht="12.75">
      <c r="A13" s="50">
        <v>39185</v>
      </c>
      <c r="B13" s="49">
        <v>72794</v>
      </c>
      <c r="C13" s="118">
        <f>690/18.7</f>
        <v>36.898395721925134</v>
      </c>
      <c r="D13" s="60">
        <f t="shared" si="1"/>
        <v>8.222014951153119</v>
      </c>
      <c r="E13" s="77">
        <v>690</v>
      </c>
      <c r="F13" s="51">
        <v>26</v>
      </c>
      <c r="G13" s="100">
        <f t="shared" si="0"/>
        <v>26.53846153846154</v>
      </c>
    </row>
    <row r="14" spans="1:7" ht="12.75">
      <c r="A14" s="50">
        <v>39198</v>
      </c>
      <c r="B14" s="49">
        <v>73322</v>
      </c>
      <c r="C14" s="118">
        <v>33.69</v>
      </c>
      <c r="D14" s="60">
        <f t="shared" si="1"/>
        <v>7.501423562372491</v>
      </c>
      <c r="E14" s="77">
        <v>630</v>
      </c>
      <c r="F14" s="51">
        <v>26</v>
      </c>
      <c r="G14" s="100">
        <f t="shared" si="0"/>
        <v>24.23076923076923</v>
      </c>
    </row>
    <row r="15" spans="1:7" ht="12.75">
      <c r="A15" s="50">
        <v>39212</v>
      </c>
      <c r="B15" s="49">
        <f>B14+570</f>
        <v>73892</v>
      </c>
      <c r="C15" s="118">
        <v>35.83</v>
      </c>
      <c r="D15" s="60">
        <f t="shared" si="1"/>
        <v>6.33151183970856</v>
      </c>
      <c r="E15" s="77">
        <v>670</v>
      </c>
      <c r="F15" s="51">
        <v>26</v>
      </c>
      <c r="G15" s="100">
        <f t="shared" si="0"/>
        <v>25.76923076923077</v>
      </c>
    </row>
    <row r="16" spans="1:7" ht="12.75">
      <c r="A16" s="50">
        <v>39227</v>
      </c>
      <c r="B16" s="49">
        <v>74377</v>
      </c>
      <c r="C16" s="60">
        <f>E16/18.7</f>
        <v>26.737967914438503</v>
      </c>
      <c r="D16" s="60">
        <f t="shared" si="1"/>
        <v>5.930613072458625</v>
      </c>
      <c r="E16" s="77">
        <v>500</v>
      </c>
      <c r="F16" s="51">
        <v>26</v>
      </c>
      <c r="G16" s="100">
        <f t="shared" si="0"/>
        <v>19.23076923076923</v>
      </c>
    </row>
    <row r="17" spans="1:7" ht="12.75">
      <c r="A17" s="50">
        <v>39236</v>
      </c>
      <c r="B17" s="49">
        <v>74889</v>
      </c>
      <c r="C17" s="60">
        <f>E17/18.6</f>
        <v>26.881720430107524</v>
      </c>
      <c r="D17" s="60">
        <f t="shared" si="1"/>
        <v>5.378103143886261</v>
      </c>
      <c r="E17" s="77">
        <v>500</v>
      </c>
      <c r="F17" s="51">
        <v>26</v>
      </c>
      <c r="G17" s="100">
        <f t="shared" si="0"/>
        <v>19.23076923076923</v>
      </c>
    </row>
    <row r="18" spans="1:7" ht="12.75">
      <c r="A18" s="50">
        <v>39241</v>
      </c>
      <c r="B18" s="49">
        <v>75359</v>
      </c>
      <c r="C18" s="60">
        <v>26.74</v>
      </c>
      <c r="D18" s="60">
        <f t="shared" si="1"/>
        <v>5.46046032893152</v>
      </c>
      <c r="E18" s="77">
        <v>500</v>
      </c>
      <c r="F18" s="51">
        <v>26</v>
      </c>
      <c r="G18" s="100">
        <f t="shared" si="0"/>
        <v>19.23076923076923</v>
      </c>
    </row>
    <row r="19" spans="1:7" ht="12.75">
      <c r="A19" s="50">
        <v>39246</v>
      </c>
      <c r="B19" s="72">
        <v>75732</v>
      </c>
      <c r="C19" s="118">
        <v>27.77</v>
      </c>
      <c r="D19" s="60">
        <f t="shared" si="1"/>
        <v>6.466192170818505</v>
      </c>
      <c r="E19" s="77">
        <v>500</v>
      </c>
      <c r="F19" s="51">
        <v>26</v>
      </c>
      <c r="G19" s="100">
        <f t="shared" si="0"/>
        <v>19.23076923076923</v>
      </c>
    </row>
    <row r="20" spans="1:7" ht="12.75">
      <c r="A20" s="50">
        <v>39251</v>
      </c>
      <c r="B20" s="49">
        <v>76233</v>
      </c>
      <c r="C20" s="60">
        <v>26.73</v>
      </c>
      <c r="D20" s="60">
        <f t="shared" si="1"/>
        <v>6.2356979405034325</v>
      </c>
      <c r="E20" s="77">
        <v>500</v>
      </c>
      <c r="F20" s="51">
        <v>26</v>
      </c>
      <c r="G20" s="100">
        <f t="shared" si="0"/>
        <v>19.23076923076923</v>
      </c>
    </row>
    <row r="21" spans="1:7" ht="12.75">
      <c r="A21" s="50">
        <v>39282</v>
      </c>
      <c r="B21" s="22">
        <v>76738</v>
      </c>
      <c r="C21" s="60">
        <v>33.68</v>
      </c>
      <c r="D21" s="60">
        <f t="shared" si="1"/>
        <v>6.004970178926441</v>
      </c>
      <c r="E21" s="77">
        <v>630</v>
      </c>
      <c r="F21" s="51">
        <v>25.7</v>
      </c>
      <c r="G21" s="100">
        <f t="shared" si="0"/>
        <v>24.513618677042803</v>
      </c>
    </row>
    <row r="22" spans="1:7" ht="12.75">
      <c r="A22" s="50">
        <v>39297</v>
      </c>
      <c r="B22" s="22">
        <v>77300</v>
      </c>
      <c r="C22" s="60">
        <v>26.74</v>
      </c>
      <c r="D22" s="60">
        <f t="shared" si="1"/>
        <v>5.6626054358013125</v>
      </c>
      <c r="E22" s="77">
        <v>500</v>
      </c>
      <c r="F22" s="51">
        <v>25.6</v>
      </c>
      <c r="G22" s="100">
        <f t="shared" si="0"/>
        <v>19.53125</v>
      </c>
    </row>
    <row r="23" spans="1:7" ht="12.75">
      <c r="A23" s="50">
        <v>39299</v>
      </c>
      <c r="B23" s="49">
        <v>77749</v>
      </c>
      <c r="C23" s="60">
        <v>25.77</v>
      </c>
      <c r="D23" s="60">
        <f t="shared" si="1"/>
        <v>5.193867457962413</v>
      </c>
      <c r="E23" s="77">
        <v>500</v>
      </c>
      <c r="F23" s="51">
        <v>25.6</v>
      </c>
      <c r="G23" s="100">
        <f t="shared" si="0"/>
        <v>19.53125</v>
      </c>
    </row>
    <row r="24" spans="1:7" ht="12.75">
      <c r="A24" s="50">
        <v>39304</v>
      </c>
      <c r="B24" s="49">
        <v>78168</v>
      </c>
      <c r="C24" s="118">
        <v>35.83</v>
      </c>
      <c r="D24" s="60">
        <f t="shared" si="1"/>
        <v>7.096774193548386</v>
      </c>
      <c r="E24" s="77">
        <v>670</v>
      </c>
      <c r="F24" s="51">
        <v>25.6</v>
      </c>
      <c r="G24" s="100">
        <f t="shared" si="0"/>
        <v>26.171875</v>
      </c>
    </row>
    <row r="25" spans="1:7" ht="12.75">
      <c r="A25" s="50">
        <v>39308.08</v>
      </c>
      <c r="B25" s="49">
        <v>78755</v>
      </c>
      <c r="C25" s="118">
        <v>35.29</v>
      </c>
      <c r="D25" s="60">
        <f t="shared" si="1"/>
        <v>7.069582504970179</v>
      </c>
      <c r="E25" s="77">
        <v>660</v>
      </c>
      <c r="F25" s="51">
        <v>25.6</v>
      </c>
      <c r="G25" s="100">
        <f t="shared" si="0"/>
        <v>25.78125</v>
      </c>
    </row>
    <row r="26" spans="1:7" s="116" customFormat="1" ht="12.75">
      <c r="A26" s="73">
        <v>39315</v>
      </c>
      <c r="B26" s="72">
        <v>79217</v>
      </c>
      <c r="C26" s="127">
        <v>32.64</v>
      </c>
      <c r="D26" s="60">
        <f t="shared" si="1"/>
        <v>6.475691134413728</v>
      </c>
      <c r="E26" s="78">
        <v>600</v>
      </c>
      <c r="F26" s="75">
        <v>25</v>
      </c>
      <c r="G26" s="128">
        <f t="shared" si="0"/>
        <v>24</v>
      </c>
    </row>
    <row r="27" spans="1:7" s="116" customFormat="1" ht="12.75">
      <c r="A27" s="73">
        <v>39344</v>
      </c>
      <c r="B27" s="72">
        <v>79788</v>
      </c>
      <c r="C27" s="127">
        <v>34.23</v>
      </c>
      <c r="D27" s="60">
        <f t="shared" si="1"/>
        <v>6.473378509196516</v>
      </c>
      <c r="E27" s="78">
        <v>640</v>
      </c>
      <c r="F27" s="75">
        <v>25</v>
      </c>
      <c r="G27" s="128">
        <f t="shared" si="0"/>
        <v>25.6</v>
      </c>
    </row>
    <row r="28" spans="1:7" s="116" customFormat="1" ht="12.75">
      <c r="A28" s="73">
        <v>39355</v>
      </c>
      <c r="B28" s="72">
        <v>80320</v>
      </c>
      <c r="C28" s="127">
        <v>35.97</v>
      </c>
      <c r="D28" s="60">
        <f t="shared" si="1"/>
        <v>6.364460562103353</v>
      </c>
      <c r="E28" s="78">
        <v>694.3</v>
      </c>
      <c r="F28" s="75">
        <v>24.5</v>
      </c>
      <c r="G28" s="128">
        <f t="shared" si="0"/>
        <v>28.33877551020408</v>
      </c>
    </row>
    <row r="29" spans="1:7" s="116" customFormat="1" ht="12.75">
      <c r="A29" s="73">
        <v>39370</v>
      </c>
      <c r="B29" s="72">
        <v>80783</v>
      </c>
      <c r="C29" s="127">
        <v>33.82</v>
      </c>
      <c r="D29" s="60">
        <f t="shared" si="1"/>
        <v>7.014070351758793</v>
      </c>
      <c r="E29" s="78">
        <v>645.9</v>
      </c>
      <c r="F29" s="75">
        <v>24.5</v>
      </c>
      <c r="G29" s="128">
        <f t="shared" si="0"/>
        <v>26.363265306122447</v>
      </c>
    </row>
    <row r="30" spans="1:7" s="116" customFormat="1" ht="12.75">
      <c r="A30" s="73">
        <v>39383</v>
      </c>
      <c r="B30" s="72">
        <v>81270</v>
      </c>
      <c r="C30" s="127">
        <v>36.58</v>
      </c>
      <c r="D30" s="60">
        <f t="shared" si="1"/>
        <v>7.4105263157894745</v>
      </c>
      <c r="E30" s="78">
        <v>695</v>
      </c>
      <c r="F30" s="75">
        <v>24.5</v>
      </c>
      <c r="G30" s="128">
        <f t="shared" si="0"/>
        <v>28.367346938775512</v>
      </c>
    </row>
    <row r="31" spans="1:7" s="116" customFormat="1" ht="12.75">
      <c r="A31" s="73">
        <v>39390</v>
      </c>
      <c r="B31" s="72">
        <v>81818</v>
      </c>
      <c r="C31" s="127">
        <v>37.4</v>
      </c>
      <c r="D31" s="60">
        <f t="shared" si="1"/>
        <v>7.147826086956521</v>
      </c>
      <c r="E31" s="78">
        <v>729.3</v>
      </c>
      <c r="F31" s="75">
        <v>24.5</v>
      </c>
      <c r="G31" s="128">
        <f t="shared" si="0"/>
        <v>29.767346938775507</v>
      </c>
    </row>
    <row r="32" spans="1:7" s="116" customFormat="1" ht="12.75">
      <c r="A32" s="73">
        <v>39399</v>
      </c>
      <c r="B32" s="72">
        <v>82277</v>
      </c>
      <c r="C32" s="127">
        <v>34.69</v>
      </c>
      <c r="D32" s="60">
        <f t="shared" si="1"/>
        <v>7.1588877855014905</v>
      </c>
      <c r="E32" s="78">
        <v>679.9</v>
      </c>
      <c r="F32" s="75">
        <v>24.5</v>
      </c>
      <c r="G32" s="128">
        <f t="shared" si="0"/>
        <v>27.751020408163264</v>
      </c>
    </row>
    <row r="33" spans="1:7" s="116" customFormat="1" ht="12.75">
      <c r="A33" s="73">
        <v>39408</v>
      </c>
      <c r="B33" s="72">
        <v>82742</v>
      </c>
      <c r="C33" s="127">
        <v>40.73</v>
      </c>
      <c r="D33" s="60">
        <f t="shared" si="1"/>
        <v>8.162337662337661</v>
      </c>
      <c r="E33" s="78">
        <v>765.72</v>
      </c>
      <c r="F33" s="75">
        <v>24.5</v>
      </c>
      <c r="G33" s="128">
        <f t="shared" si="0"/>
        <v>31.25387755102041</v>
      </c>
    </row>
    <row r="34" spans="1:7" s="116" customFormat="1" ht="12.75">
      <c r="A34" s="73">
        <v>39416</v>
      </c>
      <c r="B34" s="72">
        <v>83310</v>
      </c>
      <c r="C34" s="127">
        <v>35.53</v>
      </c>
      <c r="D34" s="60">
        <f t="shared" si="1"/>
        <v>7.382381413359147</v>
      </c>
      <c r="E34" s="78">
        <v>700</v>
      </c>
      <c r="F34" s="75">
        <v>24.5</v>
      </c>
      <c r="G34" s="128">
        <f t="shared" si="0"/>
        <v>28.571428571428573</v>
      </c>
    </row>
    <row r="35" spans="1:7" s="116" customFormat="1" ht="12.75">
      <c r="A35" s="73">
        <v>39430</v>
      </c>
      <c r="B35" s="72">
        <v>83752</v>
      </c>
      <c r="C35" s="127">
        <v>32.25</v>
      </c>
      <c r="D35" s="60">
        <f t="shared" si="1"/>
        <v>6.7108910891089115</v>
      </c>
      <c r="E35" s="78">
        <v>658</v>
      </c>
      <c r="F35" s="75">
        <v>24</v>
      </c>
      <c r="G35" s="128">
        <f t="shared" si="0"/>
        <v>27.416666666666668</v>
      </c>
    </row>
    <row r="36" spans="1:7" s="116" customFormat="1" ht="12.75">
      <c r="A36" s="73">
        <v>39441</v>
      </c>
      <c r="B36" s="72">
        <v>84210</v>
      </c>
      <c r="C36" s="127">
        <v>35.26</v>
      </c>
      <c r="D36" s="60">
        <f t="shared" si="1"/>
        <v>7.5011111111111095</v>
      </c>
      <c r="E36" s="78">
        <v>701</v>
      </c>
      <c r="F36" s="75">
        <v>24</v>
      </c>
      <c r="G36" s="128">
        <f t="shared" si="0"/>
        <v>29.208333333333332</v>
      </c>
    </row>
    <row r="37" spans="1:7" s="116" customFormat="1" ht="12.75">
      <c r="A37" s="73">
        <v>39461</v>
      </c>
      <c r="B37" s="72">
        <v>84718</v>
      </c>
      <c r="C37" s="127">
        <v>35.1</v>
      </c>
      <c r="D37" s="60">
        <f t="shared" si="1"/>
        <v>7.283643892339545</v>
      </c>
      <c r="E37" s="78">
        <v>721</v>
      </c>
      <c r="F37" s="75">
        <v>24</v>
      </c>
      <c r="G37" s="128">
        <f t="shared" si="0"/>
        <v>30.041666666666668</v>
      </c>
    </row>
    <row r="38" spans="1:7" s="116" customFormat="1" ht="12.75">
      <c r="A38" s="73">
        <v>39471</v>
      </c>
      <c r="B38" s="72">
        <v>85214</v>
      </c>
      <c r="C38" s="127">
        <v>33.5</v>
      </c>
      <c r="D38" s="60">
        <f t="shared" si="1"/>
        <v>6.8326693227091635</v>
      </c>
      <c r="E38" s="78">
        <v>680</v>
      </c>
      <c r="F38" s="75">
        <v>24</v>
      </c>
      <c r="G38" s="128">
        <f t="shared" si="0"/>
        <v>28.333333333333332</v>
      </c>
    </row>
    <row r="39" spans="1:9" s="116" customFormat="1" ht="12.75">
      <c r="A39" s="73">
        <v>39483</v>
      </c>
      <c r="B39" s="72">
        <v>85676</v>
      </c>
      <c r="C39" s="74">
        <v>30</v>
      </c>
      <c r="D39" s="60">
        <f t="shared" si="1"/>
        <v>6.628392484342379</v>
      </c>
      <c r="E39" s="78">
        <v>600</v>
      </c>
      <c r="F39" s="75">
        <v>23.5</v>
      </c>
      <c r="G39" s="128">
        <f t="shared" si="0"/>
        <v>25.53191489361702</v>
      </c>
      <c r="I39" s="129"/>
    </row>
    <row r="40" spans="1:7" s="116" customFormat="1" ht="12.75">
      <c r="A40" s="73">
        <v>39493</v>
      </c>
      <c r="B40" s="72">
        <v>86099</v>
      </c>
      <c r="C40" s="130">
        <v>35</v>
      </c>
      <c r="D40" s="60">
        <f t="shared" si="1"/>
        <v>7.344632768361582</v>
      </c>
      <c r="E40" s="78">
        <v>700</v>
      </c>
      <c r="F40" s="75">
        <v>23.5</v>
      </c>
      <c r="G40" s="128">
        <f t="shared" si="0"/>
        <v>29.78723404255319</v>
      </c>
    </row>
    <row r="41" spans="1:7" s="116" customFormat="1" ht="12.75">
      <c r="A41" s="73">
        <v>39513</v>
      </c>
      <c r="B41" s="72">
        <v>86492</v>
      </c>
      <c r="C41" s="130">
        <v>34.02</v>
      </c>
      <c r="D41" s="60">
        <f t="shared" si="1"/>
        <v>8.458333333333334</v>
      </c>
      <c r="E41" s="78">
        <v>701</v>
      </c>
      <c r="F41" s="75">
        <v>23.5</v>
      </c>
      <c r="G41" s="128">
        <f t="shared" si="0"/>
        <v>29.829787234042552</v>
      </c>
    </row>
    <row r="42" spans="1:7" ht="12.75">
      <c r="A42" s="73">
        <v>39524</v>
      </c>
      <c r="B42" s="72">
        <v>86978</v>
      </c>
      <c r="C42" s="130">
        <v>37.5</v>
      </c>
      <c r="D42" s="60">
        <f t="shared" si="1"/>
        <v>8.13651877133106</v>
      </c>
      <c r="E42" s="78">
        <v>700</v>
      </c>
      <c r="F42" s="75">
        <v>23.5</v>
      </c>
      <c r="G42" s="128">
        <f t="shared" si="0"/>
        <v>29.78723404255319</v>
      </c>
    </row>
    <row r="43" spans="1:7" ht="12.75">
      <c r="A43" s="73">
        <v>39537</v>
      </c>
      <c r="B43" s="72">
        <v>87448</v>
      </c>
      <c r="C43" s="130">
        <v>34.76</v>
      </c>
      <c r="D43" s="60">
        <f t="shared" si="1"/>
        <v>7.55857740585774</v>
      </c>
      <c r="E43" s="78">
        <v>730</v>
      </c>
      <c r="F43" s="75">
        <v>23.5</v>
      </c>
      <c r="G43" s="128">
        <f t="shared" si="0"/>
        <v>31.06382978723404</v>
      </c>
    </row>
    <row r="44" spans="1:7" ht="12.75">
      <c r="A44" s="73">
        <v>39546</v>
      </c>
      <c r="B44" s="72">
        <v>87945</v>
      </c>
      <c r="C44" s="130">
        <v>36.48</v>
      </c>
      <c r="D44" s="60">
        <f t="shared" si="1"/>
        <v>7.3671147880041365</v>
      </c>
      <c r="E44" s="78">
        <v>770</v>
      </c>
      <c r="F44" s="75">
        <v>23.5</v>
      </c>
      <c r="G44" s="128">
        <f aca="true" t="shared" si="2" ref="G44:G79">E44/F44</f>
        <v>32.765957446808514</v>
      </c>
    </row>
    <row r="45" spans="1:7" ht="12.75">
      <c r="A45" s="73">
        <v>39557</v>
      </c>
      <c r="B45" s="72">
        <v>88538</v>
      </c>
      <c r="C45" s="130">
        <v>38.57</v>
      </c>
      <c r="D45" s="60">
        <f t="shared" si="1"/>
        <v>6.885321100917431</v>
      </c>
      <c r="E45" s="78">
        <v>860</v>
      </c>
      <c r="F45" s="75">
        <v>23.5</v>
      </c>
      <c r="G45" s="128">
        <f t="shared" si="2"/>
        <v>36.59574468085106</v>
      </c>
    </row>
    <row r="46" spans="1:7" ht="12.75">
      <c r="A46" s="73">
        <v>39573</v>
      </c>
      <c r="B46" s="72">
        <v>89065</v>
      </c>
      <c r="C46" s="130">
        <v>40.96</v>
      </c>
      <c r="D46" s="60">
        <f t="shared" si="1"/>
        <v>7.100892857142857</v>
      </c>
      <c r="E46" s="78">
        <v>934</v>
      </c>
      <c r="F46" s="75">
        <v>23.5</v>
      </c>
      <c r="G46" s="128">
        <f t="shared" si="2"/>
        <v>39.744680851063826</v>
      </c>
    </row>
    <row r="47" spans="1:7" ht="12.75">
      <c r="A47" s="73">
        <v>39585</v>
      </c>
      <c r="B47" s="72">
        <v>89604</v>
      </c>
      <c r="C47" s="130">
        <v>36.61</v>
      </c>
      <c r="D47" s="60">
        <f t="shared" si="1"/>
        <v>7.276735459662288</v>
      </c>
      <c r="E47" s="78">
        <v>820</v>
      </c>
      <c r="F47" s="75">
        <v>23.5</v>
      </c>
      <c r="G47" s="128">
        <f t="shared" si="2"/>
        <v>34.8936170212766</v>
      </c>
    </row>
    <row r="48" spans="1:7" ht="12.75">
      <c r="A48" s="50">
        <v>39602</v>
      </c>
      <c r="B48" s="49">
        <v>90042</v>
      </c>
      <c r="C48" s="131">
        <v>36.82</v>
      </c>
      <c r="D48" s="60">
        <f t="shared" si="1"/>
        <v>7.515864892528149</v>
      </c>
      <c r="E48" s="78">
        <v>880</v>
      </c>
      <c r="F48" s="75">
        <v>23.5</v>
      </c>
      <c r="G48" s="128">
        <f t="shared" si="2"/>
        <v>37.4468085106383</v>
      </c>
    </row>
    <row r="49" spans="1:7" ht="12.75">
      <c r="A49" s="50">
        <v>39616</v>
      </c>
      <c r="B49" s="49">
        <v>90542</v>
      </c>
      <c r="C49" s="132">
        <v>36.56</v>
      </c>
      <c r="D49" s="60">
        <f t="shared" si="1"/>
        <v>7.823027718550106</v>
      </c>
      <c r="E49" s="78">
        <v>870</v>
      </c>
      <c r="F49" s="51">
        <v>24</v>
      </c>
      <c r="G49" s="128">
        <f t="shared" si="2"/>
        <v>36.25</v>
      </c>
    </row>
    <row r="50" spans="1:7" ht="12.75">
      <c r="A50" s="50">
        <v>39633</v>
      </c>
      <c r="B50" s="49">
        <v>91031</v>
      </c>
      <c r="C50" s="132">
        <v>36.31</v>
      </c>
      <c r="D50" s="60">
        <f t="shared" si="1"/>
        <v>7.368048533872599</v>
      </c>
      <c r="E50" s="78">
        <v>889</v>
      </c>
      <c r="F50" s="51">
        <v>24</v>
      </c>
      <c r="G50" s="128">
        <f t="shared" si="2"/>
        <v>37.041666666666664</v>
      </c>
    </row>
    <row r="51" spans="1:7" ht="12.75">
      <c r="A51" s="50">
        <v>39651</v>
      </c>
      <c r="B51" s="49">
        <v>91522</v>
      </c>
      <c r="C51" s="132">
        <v>36.45</v>
      </c>
      <c r="D51" s="60">
        <f t="shared" si="1"/>
        <v>7.424489795918368</v>
      </c>
      <c r="E51" s="78">
        <v>889</v>
      </c>
      <c r="F51" s="51">
        <v>24</v>
      </c>
      <c r="G51" s="100">
        <f t="shared" si="2"/>
        <v>37.041666666666664</v>
      </c>
    </row>
    <row r="52" spans="1:7" ht="12.75">
      <c r="A52" s="50">
        <v>39670</v>
      </c>
      <c r="B52" s="49">
        <v>91943</v>
      </c>
      <c r="C52" s="132">
        <v>36.29</v>
      </c>
      <c r="D52" s="60">
        <f t="shared" si="1"/>
        <v>7.975877192982457</v>
      </c>
      <c r="E52" s="78">
        <v>893</v>
      </c>
      <c r="F52" s="51">
        <v>24.5</v>
      </c>
      <c r="G52" s="100">
        <f t="shared" si="2"/>
        <v>36.44897959183673</v>
      </c>
    </row>
    <row r="53" spans="1:7" ht="12.75">
      <c r="A53" s="50">
        <v>39684</v>
      </c>
      <c r="B53" s="49">
        <v>92408</v>
      </c>
      <c r="C53" s="132">
        <v>35.14</v>
      </c>
      <c r="D53" s="60">
        <f t="shared" si="1"/>
        <v>8.062076749435667</v>
      </c>
      <c r="E53" s="78">
        <v>858</v>
      </c>
      <c r="F53" s="51">
        <v>24.5</v>
      </c>
      <c r="G53" s="100">
        <f t="shared" si="2"/>
        <v>35.02040816326531</v>
      </c>
    </row>
    <row r="54" spans="1:7" ht="12.75">
      <c r="A54" s="50">
        <v>39717</v>
      </c>
      <c r="B54" s="49">
        <v>92914</v>
      </c>
      <c r="C54" s="132">
        <v>33.04</v>
      </c>
      <c r="D54" s="60">
        <f t="shared" si="1"/>
        <v>7.0216271884655</v>
      </c>
      <c r="E54" s="77">
        <v>830</v>
      </c>
      <c r="F54" s="83">
        <v>25</v>
      </c>
      <c r="G54" s="100">
        <f t="shared" si="2"/>
        <v>33.2</v>
      </c>
    </row>
    <row r="55" spans="1:7" ht="12.75">
      <c r="A55" s="50">
        <v>39731</v>
      </c>
      <c r="B55" s="49">
        <v>93370</v>
      </c>
      <c r="C55" s="49">
        <v>32.92</v>
      </c>
      <c r="D55" s="60">
        <f t="shared" si="1"/>
        <v>6.856548856548858</v>
      </c>
      <c r="E55" s="77">
        <v>800</v>
      </c>
      <c r="F55" s="83">
        <v>26</v>
      </c>
      <c r="G55" s="100">
        <f t="shared" si="2"/>
        <v>30.76923076923077</v>
      </c>
    </row>
    <row r="56" spans="1:7" ht="12.75">
      <c r="A56" s="50">
        <v>39744</v>
      </c>
      <c r="B56" s="49">
        <v>93854</v>
      </c>
      <c r="C56" s="132">
        <v>41.27</v>
      </c>
      <c r="D56" s="60">
        <f t="shared" si="1"/>
        <v>7.892553191489362</v>
      </c>
      <c r="E56" s="77">
        <v>937</v>
      </c>
      <c r="F56" s="83">
        <v>27</v>
      </c>
      <c r="G56" s="100">
        <f t="shared" si="2"/>
        <v>34.7037037037037</v>
      </c>
    </row>
    <row r="57" spans="1:7" ht="13.5" thickBot="1">
      <c r="A57" s="84">
        <v>39765</v>
      </c>
      <c r="B57" s="85">
        <v>94303</v>
      </c>
      <c r="C57" s="135">
        <v>36.08</v>
      </c>
      <c r="D57" s="60">
        <f t="shared" si="1"/>
        <v>8.290460878885316</v>
      </c>
      <c r="E57" s="87">
        <v>815</v>
      </c>
      <c r="F57" s="83">
        <v>27</v>
      </c>
      <c r="G57" s="100">
        <f t="shared" si="2"/>
        <v>30.185185185185187</v>
      </c>
    </row>
    <row r="58" spans="1:7" ht="12.75">
      <c r="A58" s="79">
        <v>39785</v>
      </c>
      <c r="B58" s="80">
        <v>94702</v>
      </c>
      <c r="C58" s="136">
        <v>33.82</v>
      </c>
      <c r="D58" s="60">
        <f t="shared" si="1"/>
        <v>8.242924528301888</v>
      </c>
      <c r="E58" s="82">
        <v>740</v>
      </c>
      <c r="F58" s="83">
        <v>28</v>
      </c>
      <c r="G58" s="100">
        <f t="shared" si="2"/>
        <v>26.428571428571427</v>
      </c>
    </row>
    <row r="59" spans="1:7" ht="12.75">
      <c r="A59" s="50">
        <v>39798</v>
      </c>
      <c r="B59" s="49">
        <v>95123</v>
      </c>
      <c r="C59" s="132">
        <v>34.6</v>
      </c>
      <c r="D59" s="60">
        <f t="shared" si="1"/>
        <v>8.34390243902439</v>
      </c>
      <c r="E59" s="77">
        <v>730</v>
      </c>
      <c r="F59" s="83">
        <v>28</v>
      </c>
      <c r="G59" s="100">
        <f t="shared" si="2"/>
        <v>26.071428571428573</v>
      </c>
    </row>
    <row r="60" spans="1:7" ht="12.75">
      <c r="A60" s="50">
        <v>39805</v>
      </c>
      <c r="B60" s="49">
        <v>95613</v>
      </c>
      <c r="C60" s="132">
        <v>41.1</v>
      </c>
      <c r="D60" s="60">
        <f t="shared" si="1"/>
        <v>8.309549945115258</v>
      </c>
      <c r="E60" s="77">
        <v>835</v>
      </c>
      <c r="F60" s="83">
        <v>29</v>
      </c>
      <c r="G60" s="100">
        <f t="shared" si="2"/>
        <v>28.79310344827586</v>
      </c>
    </row>
    <row r="61" spans="1:7" ht="13.5" thickBot="1">
      <c r="A61" s="84">
        <v>39817</v>
      </c>
      <c r="B61" s="85">
        <v>96140</v>
      </c>
      <c r="C61" s="135">
        <v>39.47</v>
      </c>
      <c r="D61" s="60">
        <f t="shared" si="1"/>
        <v>7.922320550639133</v>
      </c>
      <c r="E61" s="87">
        <v>774</v>
      </c>
      <c r="F61" s="83">
        <v>29</v>
      </c>
      <c r="G61" s="100">
        <f t="shared" si="2"/>
        <v>26.689655172413794</v>
      </c>
    </row>
    <row r="62" spans="1:7" ht="12.75">
      <c r="A62" s="79">
        <v>39823</v>
      </c>
      <c r="B62" s="80">
        <v>96713</v>
      </c>
      <c r="C62" s="136">
        <v>35.53</v>
      </c>
      <c r="D62" s="60">
        <f t="shared" si="1"/>
        <v>6.8181818181818175</v>
      </c>
      <c r="E62" s="82">
        <v>704</v>
      </c>
      <c r="F62" s="83">
        <v>30</v>
      </c>
      <c r="G62" s="100">
        <f t="shared" si="2"/>
        <v>23.466666666666665</v>
      </c>
    </row>
    <row r="63" spans="1:7" ht="12.75">
      <c r="A63" s="50">
        <v>39832</v>
      </c>
      <c r="B63" s="49">
        <v>97207</v>
      </c>
      <c r="C63" s="132">
        <v>41.02</v>
      </c>
      <c r="D63" s="60">
        <f t="shared" si="1"/>
        <v>7.17432052483599</v>
      </c>
      <c r="E63" s="77">
        <v>779</v>
      </c>
      <c r="F63" s="83">
        <v>31</v>
      </c>
      <c r="G63" s="100">
        <f t="shared" si="2"/>
        <v>25.129032258064516</v>
      </c>
    </row>
    <row r="64" spans="1:7" ht="13.5" thickBot="1">
      <c r="A64" s="84">
        <v>39844</v>
      </c>
      <c r="B64" s="85">
        <v>97640</v>
      </c>
      <c r="C64" s="135">
        <v>36.17</v>
      </c>
      <c r="D64" s="60">
        <f t="shared" si="1"/>
        <v>8.326860841423949</v>
      </c>
      <c r="E64" s="87">
        <v>680</v>
      </c>
      <c r="F64" s="83">
        <v>32</v>
      </c>
      <c r="G64" s="100">
        <f t="shared" si="2"/>
        <v>21.25</v>
      </c>
    </row>
    <row r="65" spans="1:7" ht="12.75">
      <c r="A65" s="79">
        <v>39852</v>
      </c>
      <c r="B65" s="80">
        <v>98103</v>
      </c>
      <c r="C65" s="136">
        <v>33.16</v>
      </c>
      <c r="D65" s="60">
        <f t="shared" si="1"/>
        <v>7.737723214285714</v>
      </c>
      <c r="E65" s="82">
        <v>630</v>
      </c>
      <c r="F65" s="83">
        <v>32</v>
      </c>
      <c r="G65" s="100">
        <f t="shared" si="2"/>
        <v>19.6875</v>
      </c>
    </row>
    <row r="66" spans="1:7" ht="12.75">
      <c r="A66" s="50">
        <v>39881</v>
      </c>
      <c r="B66" s="49">
        <v>98471</v>
      </c>
      <c r="C66" s="132">
        <v>35.13</v>
      </c>
      <c r="D66" s="60">
        <f t="shared" si="1"/>
        <v>8.217809867629361</v>
      </c>
      <c r="E66" s="77">
        <v>650</v>
      </c>
      <c r="F66" s="83">
        <v>32</v>
      </c>
      <c r="G66" s="100">
        <f t="shared" si="2"/>
        <v>20.3125</v>
      </c>
    </row>
    <row r="67" spans="1:7" ht="13.5" thickBot="1">
      <c r="A67" s="84">
        <v>39900</v>
      </c>
      <c r="B67" s="85">
        <v>98887</v>
      </c>
      <c r="C67" s="135">
        <v>37.93</v>
      </c>
      <c r="D67" s="60">
        <f t="shared" si="1"/>
        <v>9.318877551020408</v>
      </c>
      <c r="E67" s="87">
        <v>713</v>
      </c>
      <c r="F67" s="83">
        <v>32</v>
      </c>
      <c r="G67" s="100">
        <f t="shared" si="2"/>
        <v>22.28125</v>
      </c>
    </row>
    <row r="68" spans="1:7" ht="12.75">
      <c r="A68" s="79">
        <v>39915</v>
      </c>
      <c r="B68" s="80">
        <v>99334</v>
      </c>
      <c r="C68" s="136">
        <v>37.01</v>
      </c>
      <c r="D68" s="60">
        <f t="shared" si="1"/>
        <v>8.683661645422942</v>
      </c>
      <c r="E68" s="82">
        <v>670</v>
      </c>
      <c r="F68" s="83">
        <v>32</v>
      </c>
      <c r="G68" s="100">
        <f t="shared" si="2"/>
        <v>20.9375</v>
      </c>
    </row>
    <row r="69" spans="1:7" ht="12.75">
      <c r="A69" s="50">
        <v>39927</v>
      </c>
      <c r="B69" s="49">
        <v>99757</v>
      </c>
      <c r="C69" s="132">
        <v>34.15</v>
      </c>
      <c r="D69" s="60">
        <f aca="true" t="shared" si="3" ref="D69:D79">(C68+C69)/(B69-B67)*100</f>
        <v>8.179310344827586</v>
      </c>
      <c r="E69" s="77">
        <v>625</v>
      </c>
      <c r="F69" s="83">
        <v>32</v>
      </c>
      <c r="G69" s="100">
        <f t="shared" si="2"/>
        <v>19.53125</v>
      </c>
    </row>
    <row r="70" spans="1:7" ht="13.5" thickBot="1">
      <c r="A70" s="84">
        <v>39947</v>
      </c>
      <c r="B70" s="85">
        <v>100202</v>
      </c>
      <c r="C70" s="85">
        <v>27.32</v>
      </c>
      <c r="D70" s="60">
        <f t="shared" si="3"/>
        <v>7.081797235023041</v>
      </c>
      <c r="E70" s="87">
        <v>500</v>
      </c>
      <c r="F70" s="83">
        <v>32</v>
      </c>
      <c r="G70" s="100">
        <f t="shared" si="2"/>
        <v>15.625</v>
      </c>
    </row>
    <row r="71" spans="1:7" ht="13.5" thickBot="1">
      <c r="A71" s="89">
        <v>20.05</v>
      </c>
      <c r="B71" s="90">
        <v>100538</v>
      </c>
      <c r="C71" s="90">
        <v>32.78</v>
      </c>
      <c r="D71" s="60">
        <f t="shared" si="3"/>
        <v>7.6952624839948784</v>
      </c>
      <c r="E71" s="91">
        <v>600</v>
      </c>
      <c r="F71" s="83">
        <v>32</v>
      </c>
      <c r="G71" s="100">
        <f t="shared" si="2"/>
        <v>18.75</v>
      </c>
    </row>
    <row r="72" spans="1:7" ht="12.75">
      <c r="A72" s="79">
        <v>39985</v>
      </c>
      <c r="B72" s="80">
        <v>100976</v>
      </c>
      <c r="C72" s="136">
        <v>37.59</v>
      </c>
      <c r="D72" s="60">
        <f t="shared" si="3"/>
        <v>9.091731266149871</v>
      </c>
      <c r="E72" s="82">
        <v>706</v>
      </c>
      <c r="F72" s="83">
        <v>32</v>
      </c>
      <c r="G72" s="100">
        <f t="shared" si="2"/>
        <v>22.0625</v>
      </c>
    </row>
    <row r="73" spans="1:7" ht="13.5" thickBot="1">
      <c r="A73" s="84">
        <v>40002</v>
      </c>
      <c r="B73" s="85">
        <v>101431</v>
      </c>
      <c r="C73" s="85">
        <v>26.31</v>
      </c>
      <c r="D73" s="60">
        <f t="shared" si="3"/>
        <v>7.155655095184771</v>
      </c>
      <c r="E73" s="87">
        <v>500</v>
      </c>
      <c r="F73" s="83">
        <v>32</v>
      </c>
      <c r="G73" s="100">
        <f t="shared" si="2"/>
        <v>15.625</v>
      </c>
    </row>
    <row r="74" spans="1:7" ht="12.75">
      <c r="A74" s="79">
        <v>40011</v>
      </c>
      <c r="B74" s="80">
        <v>101712</v>
      </c>
      <c r="C74" s="80">
        <v>9.8</v>
      </c>
      <c r="D74" s="60">
        <f t="shared" si="3"/>
        <v>4.90625</v>
      </c>
      <c r="E74" s="82">
        <v>200</v>
      </c>
      <c r="F74" s="83">
        <v>32</v>
      </c>
      <c r="G74" s="100">
        <f t="shared" si="2"/>
        <v>6.25</v>
      </c>
    </row>
    <row r="75" spans="1:7" ht="13.5" thickBot="1">
      <c r="A75" s="84">
        <v>40015</v>
      </c>
      <c r="B75" s="85">
        <v>101849</v>
      </c>
      <c r="C75" s="85">
        <v>9.96</v>
      </c>
      <c r="D75" s="60">
        <f t="shared" si="3"/>
        <v>4.7272727272727275</v>
      </c>
      <c r="E75" s="87">
        <v>200</v>
      </c>
      <c r="F75" s="83">
        <v>32</v>
      </c>
      <c r="G75" s="100">
        <f t="shared" si="2"/>
        <v>6.25</v>
      </c>
    </row>
    <row r="76" spans="1:7" ht="12.75">
      <c r="A76" s="79">
        <v>40035</v>
      </c>
      <c r="B76" s="80">
        <v>101962</v>
      </c>
      <c r="C76" s="136">
        <v>33.9</v>
      </c>
      <c r="D76" s="60">
        <f t="shared" si="3"/>
        <v>17.543999999999997</v>
      </c>
      <c r="E76" s="137">
        <v>720</v>
      </c>
      <c r="F76" s="83">
        <v>32</v>
      </c>
      <c r="G76" s="100">
        <f t="shared" si="2"/>
        <v>22.5</v>
      </c>
    </row>
    <row r="77" spans="1:7" ht="12.75">
      <c r="A77" s="50">
        <v>40050</v>
      </c>
      <c r="B77" s="49">
        <v>102453</v>
      </c>
      <c r="C77" s="49">
        <v>23.13</v>
      </c>
      <c r="D77" s="60">
        <f t="shared" si="3"/>
        <v>9.44205298013245</v>
      </c>
      <c r="E77" s="77">
        <v>500</v>
      </c>
      <c r="F77" s="83">
        <v>32</v>
      </c>
      <c r="G77" s="100">
        <f t="shared" si="2"/>
        <v>15.625</v>
      </c>
    </row>
    <row r="78" spans="1:7" ht="12.75">
      <c r="A78" s="50">
        <v>40055</v>
      </c>
      <c r="B78" s="49">
        <v>102784</v>
      </c>
      <c r="C78" s="49">
        <v>35.81</v>
      </c>
      <c r="D78" s="60">
        <f t="shared" si="3"/>
        <v>7.170316301703163</v>
      </c>
      <c r="E78" s="77">
        <v>770</v>
      </c>
      <c r="F78" s="83">
        <v>30</v>
      </c>
      <c r="G78" s="100">
        <f t="shared" si="2"/>
        <v>25.666666666666668</v>
      </c>
    </row>
    <row r="79" spans="1:7" ht="13.5" thickBot="1">
      <c r="A79" s="84">
        <v>40078</v>
      </c>
      <c r="B79" s="85">
        <v>103285</v>
      </c>
      <c r="C79" s="85">
        <v>22.32</v>
      </c>
      <c r="D79" s="60">
        <f t="shared" si="3"/>
        <v>6.986778846153846</v>
      </c>
      <c r="E79" s="87">
        <v>500</v>
      </c>
      <c r="F79" s="83">
        <v>30</v>
      </c>
      <c r="G79" s="100">
        <f t="shared" si="2"/>
        <v>16.666666666666668</v>
      </c>
    </row>
    <row r="80" spans="1:7" ht="12.75">
      <c r="A80" s="79"/>
      <c r="B80" s="93"/>
      <c r="C80" s="80"/>
      <c r="D80" s="81"/>
      <c r="E80" s="82"/>
      <c r="F80" s="83"/>
      <c r="G80" s="100"/>
    </row>
    <row r="81" spans="1:7" ht="13.5" thickBot="1">
      <c r="A81" s="84"/>
      <c r="B81" s="85"/>
      <c r="C81" s="85"/>
      <c r="D81" s="86"/>
      <c r="E81" s="87"/>
      <c r="F81" s="83"/>
      <c r="G81" s="100"/>
    </row>
    <row r="82" spans="1:7" ht="12.75">
      <c r="A82" s="79"/>
      <c r="B82" s="80"/>
      <c r="C82" s="80"/>
      <c r="D82" s="81"/>
      <c r="E82" s="82"/>
      <c r="F82" s="83"/>
      <c r="G82" s="100"/>
    </row>
    <row r="83" spans="1:7" ht="13.5" thickBot="1">
      <c r="A83" s="84"/>
      <c r="B83" s="85"/>
      <c r="C83" s="85"/>
      <c r="D83" s="86"/>
      <c r="E83" s="87"/>
      <c r="F83" s="88"/>
      <c r="G83" s="108"/>
    </row>
    <row r="84" spans="1:7" ht="12.75">
      <c r="A84" s="102"/>
      <c r="B84" s="54"/>
      <c r="C84" s="54"/>
      <c r="D84" s="106"/>
      <c r="E84" s="103"/>
      <c r="F84" s="104"/>
      <c r="G84" s="109"/>
    </row>
    <row r="85" spans="1:7" ht="13.5" thickBot="1">
      <c r="A85" s="84"/>
      <c r="B85" s="85"/>
      <c r="C85" s="85"/>
      <c r="D85" s="105"/>
      <c r="E85" s="87"/>
      <c r="F85" s="85"/>
      <c r="G85" s="109"/>
    </row>
    <row r="86" spans="1:7" ht="12.75">
      <c r="A86" s="102"/>
      <c r="B86" s="54"/>
      <c r="C86" s="54"/>
      <c r="D86" s="106"/>
      <c r="E86" s="103"/>
      <c r="F86" s="104"/>
      <c r="G86" s="109"/>
    </row>
    <row r="87" spans="1:7" ht="13.5" thickBot="1">
      <c r="A87" s="84"/>
      <c r="B87" s="85"/>
      <c r="C87" s="85"/>
      <c r="D87" s="105"/>
      <c r="E87" s="87"/>
      <c r="F87" s="88"/>
      <c r="G87" s="109"/>
    </row>
    <row r="88" spans="1:7" ht="13.5" thickBot="1">
      <c r="A88" s="89"/>
      <c r="B88" s="90"/>
      <c r="C88" s="90"/>
      <c r="D88" s="110"/>
      <c r="E88" s="91"/>
      <c r="F88" s="92"/>
      <c r="G88" s="109"/>
    </row>
    <row r="89" spans="1:7" ht="12.75">
      <c r="A89" s="79"/>
      <c r="B89" s="80"/>
      <c r="C89" s="80"/>
      <c r="D89" s="107"/>
      <c r="E89" s="82"/>
      <c r="F89" s="83"/>
      <c r="G89" s="109"/>
    </row>
    <row r="90" spans="1:7" ht="13.5" thickBot="1">
      <c r="A90" s="84"/>
      <c r="B90" s="85"/>
      <c r="C90" s="85"/>
      <c r="D90" s="111"/>
      <c r="E90" s="87"/>
      <c r="F90" s="88"/>
      <c r="G90" s="109"/>
    </row>
    <row r="91" spans="1:7" ht="12.75">
      <c r="A91" s="79"/>
      <c r="B91" s="80"/>
      <c r="C91" s="80"/>
      <c r="D91" s="107"/>
      <c r="E91" s="82"/>
      <c r="F91" s="83"/>
      <c r="G91" s="109"/>
    </row>
    <row r="92" spans="2:7" ht="12.75">
      <c r="B92" s="49"/>
      <c r="D92" s="107"/>
      <c r="F92" s="83"/>
      <c r="G92" s="109"/>
    </row>
    <row r="93" spans="1:7" ht="13.5" thickBot="1">
      <c r="A93" s="84"/>
      <c r="B93" s="112"/>
      <c r="C93" s="85"/>
      <c r="D93" s="111"/>
      <c r="E93" s="87"/>
      <c r="F93" s="83"/>
      <c r="G93" s="109"/>
    </row>
    <row r="94" spans="1:7" ht="13.5" thickBot="1">
      <c r="A94" s="89"/>
      <c r="B94" s="113"/>
      <c r="C94" s="90"/>
      <c r="D94" s="110"/>
      <c r="E94" s="91"/>
      <c r="F94" s="92"/>
      <c r="G94" s="109"/>
    </row>
    <row r="95" spans="1:7" ht="12.75">
      <c r="A95" s="79"/>
      <c r="B95" s="93"/>
      <c r="C95" s="80"/>
      <c r="D95" s="107"/>
      <c r="E95" s="82"/>
      <c r="F95" s="83"/>
      <c r="G95" s="109"/>
    </row>
    <row r="96" spans="1:7" ht="13.5" thickBot="1">
      <c r="A96" s="84"/>
      <c r="B96" s="112"/>
      <c r="C96" s="85"/>
      <c r="D96" s="111"/>
      <c r="E96" s="87"/>
      <c r="F96" s="88"/>
      <c r="G96" s="109"/>
    </row>
    <row r="97" spans="1:7" ht="12.75">
      <c r="A97" s="79"/>
      <c r="B97" s="93"/>
      <c r="C97" s="80"/>
      <c r="D97" s="107"/>
      <c r="E97" s="82"/>
      <c r="F97" s="83"/>
      <c r="G97" s="109"/>
    </row>
    <row r="98" spans="4:7" ht="12.75">
      <c r="D98" s="107"/>
      <c r="F98" s="83"/>
      <c r="G98" s="109"/>
    </row>
    <row r="99" spans="4:7" ht="12.75">
      <c r="D99" s="107"/>
      <c r="F99" s="83"/>
      <c r="G99" s="109"/>
    </row>
    <row r="100" spans="1:7" ht="13.5" thickBot="1">
      <c r="A100" s="84"/>
      <c r="B100" s="112"/>
      <c r="C100" s="85"/>
      <c r="D100" s="111"/>
      <c r="E100" s="87"/>
      <c r="F100" s="83"/>
      <c r="G100" s="109"/>
    </row>
    <row r="101" spans="1:7" ht="12.75">
      <c r="A101" s="79"/>
      <c r="B101" s="93"/>
      <c r="C101" s="80"/>
      <c r="D101" s="107"/>
      <c r="E101" s="82"/>
      <c r="F101" s="83"/>
      <c r="G101" s="109"/>
    </row>
    <row r="102" spans="4:7" ht="12.75">
      <c r="D102" s="107"/>
      <c r="F102" s="83"/>
      <c r="G102" s="109"/>
    </row>
    <row r="103" spans="4:7" ht="12.75">
      <c r="D103" s="107"/>
      <c r="F103" s="83"/>
      <c r="G103" s="109"/>
    </row>
    <row r="104" spans="4:7" ht="12.75">
      <c r="D104" s="107"/>
      <c r="F104" s="83"/>
      <c r="G104" s="109"/>
    </row>
    <row r="105" spans="4:7" ht="12.75">
      <c r="D105" s="107"/>
      <c r="F105" s="83"/>
      <c r="G105" s="109"/>
    </row>
    <row r="106" ht="12.75">
      <c r="D106" s="107"/>
    </row>
    <row r="107" ht="12.75">
      <c r="D107" s="107"/>
    </row>
    <row r="108" ht="12.75">
      <c r="D108" s="107"/>
    </row>
    <row r="109" ht="12.75">
      <c r="D109" s="107"/>
    </row>
    <row r="110" ht="12.75">
      <c r="D110" s="107"/>
    </row>
    <row r="111" ht="12.75">
      <c r="D111" s="107"/>
    </row>
    <row r="112" ht="12.75">
      <c r="D112" s="107"/>
    </row>
    <row r="113" ht="12.75">
      <c r="D113" s="107"/>
    </row>
    <row r="114" ht="12.75">
      <c r="D114" s="107"/>
    </row>
    <row r="115" ht="12.75">
      <c r="D115" s="107"/>
    </row>
    <row r="116" ht="12.75">
      <c r="D116" s="107"/>
    </row>
    <row r="117" ht="12.75">
      <c r="D117" s="10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">
      <selection activeCell="F14" sqref="F14"/>
    </sheetView>
  </sheetViews>
  <sheetFormatPr defaultColWidth="9.00390625" defaultRowHeight="12.75" outlineLevelCol="1"/>
  <cols>
    <col min="1" max="1" width="12.625" style="0" customWidth="1"/>
    <col min="2" max="2" width="48.25390625" style="0" customWidth="1"/>
    <col min="3" max="3" width="13.625" style="0" customWidth="1" outlineLevel="1"/>
    <col min="4" max="5" width="6.00390625" style="0" bestFit="1" customWidth="1" outlineLevel="1"/>
    <col min="6" max="6" width="7.00390625" style="0" bestFit="1" customWidth="1" outlineLevel="1"/>
    <col min="7" max="13" width="7.00390625" style="0" bestFit="1" customWidth="1"/>
  </cols>
  <sheetData>
    <row r="1" spans="4:14" ht="12.75">
      <c r="D1" s="126"/>
      <c r="N1" s="25"/>
    </row>
    <row r="2" spans="4:13" ht="12.75">
      <c r="D2" s="126">
        <v>75000</v>
      </c>
      <c r="E2" s="134">
        <v>90000</v>
      </c>
      <c r="F2">
        <v>105000</v>
      </c>
      <c r="G2">
        <v>120000</v>
      </c>
      <c r="H2">
        <v>135000</v>
      </c>
      <c r="I2">
        <v>150000</v>
      </c>
      <c r="J2">
        <v>165000</v>
      </c>
      <c r="K2">
        <v>180000</v>
      </c>
      <c r="L2">
        <v>195000</v>
      </c>
      <c r="M2">
        <v>210000</v>
      </c>
    </row>
    <row r="3" spans="2:7" ht="12.75">
      <c r="B3" t="s">
        <v>30</v>
      </c>
      <c r="C3" s="116"/>
      <c r="D3" s="126"/>
      <c r="E3" s="116"/>
      <c r="F3" s="116"/>
      <c r="G3" s="116"/>
    </row>
    <row r="4" spans="2:12" ht="12.75">
      <c r="B4" t="s">
        <v>31</v>
      </c>
      <c r="C4" s="116"/>
      <c r="D4" s="126"/>
      <c r="E4" s="116"/>
      <c r="F4" s="116"/>
      <c r="G4" s="116"/>
      <c r="L4" t="s">
        <v>42</v>
      </c>
    </row>
    <row r="5" spans="2:12" ht="12.75">
      <c r="B5" t="s">
        <v>32</v>
      </c>
      <c r="C5" s="116"/>
      <c r="D5" s="126" t="s">
        <v>42</v>
      </c>
      <c r="E5" s="116"/>
      <c r="G5" s="116"/>
      <c r="H5" s="116" t="s">
        <v>42</v>
      </c>
      <c r="L5" t="s">
        <v>42</v>
      </c>
    </row>
    <row r="6" spans="2:13" ht="12.75">
      <c r="B6" t="s">
        <v>33</v>
      </c>
      <c r="D6" s="126" t="s">
        <v>42</v>
      </c>
      <c r="E6" s="133" t="s">
        <v>42</v>
      </c>
      <c r="F6" s="116" t="s">
        <v>42</v>
      </c>
      <c r="G6" s="116" t="s">
        <v>42</v>
      </c>
      <c r="H6" t="s">
        <v>42</v>
      </c>
      <c r="I6" t="s">
        <v>42</v>
      </c>
      <c r="J6" t="s">
        <v>42</v>
      </c>
      <c r="K6" t="s">
        <v>42</v>
      </c>
      <c r="L6" t="s">
        <v>42</v>
      </c>
      <c r="M6" t="s">
        <v>42</v>
      </c>
    </row>
    <row r="7" spans="2:13" ht="12.75">
      <c r="B7" t="s">
        <v>34</v>
      </c>
      <c r="D7" s="126" t="s">
        <v>42</v>
      </c>
      <c r="E7" s="133" t="s">
        <v>42</v>
      </c>
      <c r="F7" s="116" t="s">
        <v>42</v>
      </c>
      <c r="G7" s="116" t="s">
        <v>42</v>
      </c>
      <c r="H7" t="s">
        <v>42</v>
      </c>
      <c r="I7" t="s">
        <v>42</v>
      </c>
      <c r="J7" t="s">
        <v>42</v>
      </c>
      <c r="K7" t="s">
        <v>42</v>
      </c>
      <c r="L7" t="s">
        <v>42</v>
      </c>
      <c r="M7" t="s">
        <v>42</v>
      </c>
    </row>
    <row r="8" spans="2:13" ht="12.75">
      <c r="B8" t="s">
        <v>35</v>
      </c>
      <c r="C8" s="116"/>
      <c r="D8" s="126"/>
      <c r="E8" s="133"/>
      <c r="F8" s="116"/>
      <c r="G8" s="116" t="s">
        <v>42</v>
      </c>
      <c r="J8" t="s">
        <v>42</v>
      </c>
      <c r="M8" t="s">
        <v>42</v>
      </c>
    </row>
    <row r="9" spans="2:7" ht="12.75">
      <c r="B9" t="s">
        <v>36</v>
      </c>
      <c r="C9" s="116"/>
      <c r="D9" s="126"/>
      <c r="E9" s="133" t="s">
        <v>42</v>
      </c>
      <c r="F9" s="116"/>
      <c r="G9" s="116" t="s">
        <v>42</v>
      </c>
    </row>
    <row r="10" spans="2:13" ht="12.75">
      <c r="B10" t="s">
        <v>37</v>
      </c>
      <c r="C10" s="116"/>
      <c r="D10" s="126"/>
      <c r="E10" s="116"/>
      <c r="F10" s="116"/>
      <c r="G10" s="116" t="s">
        <v>42</v>
      </c>
      <c r="J10" s="116" t="s">
        <v>42</v>
      </c>
      <c r="M10" s="116" t="s">
        <v>42</v>
      </c>
    </row>
    <row r="11" spans="2:12" ht="12.75">
      <c r="B11" t="s">
        <v>38</v>
      </c>
      <c r="C11" s="116"/>
      <c r="D11" s="126" t="s">
        <v>42</v>
      </c>
      <c r="E11" s="116"/>
      <c r="F11" s="116" t="s">
        <v>42</v>
      </c>
      <c r="H11" t="s">
        <v>42</v>
      </c>
      <c r="J11" t="s">
        <v>42</v>
      </c>
      <c r="L11" t="s">
        <v>42</v>
      </c>
    </row>
    <row r="12" spans="2:13" ht="12.75">
      <c r="B12" t="s">
        <v>39</v>
      </c>
      <c r="C12" s="116"/>
      <c r="D12" s="126"/>
      <c r="E12" s="116"/>
      <c r="F12" s="116"/>
      <c r="G12" s="116" t="s">
        <v>42</v>
      </c>
      <c r="J12" t="s">
        <v>42</v>
      </c>
      <c r="M12" t="s">
        <v>42</v>
      </c>
    </row>
    <row r="13" spans="2:7" ht="12.75">
      <c r="B13" t="s">
        <v>40</v>
      </c>
      <c r="C13" s="116"/>
      <c r="D13" s="126"/>
      <c r="E13" s="116"/>
      <c r="F13" s="116"/>
      <c r="G13" s="116"/>
    </row>
    <row r="14" spans="2:10" ht="12.75">
      <c r="B14" t="s">
        <v>41</v>
      </c>
      <c r="C14" s="116"/>
      <c r="D14" s="126"/>
      <c r="E14" s="116"/>
      <c r="F14" s="116" t="s">
        <v>42</v>
      </c>
      <c r="G14" s="116"/>
      <c r="J14" t="s">
        <v>42</v>
      </c>
    </row>
    <row r="24" spans="1:4" ht="12.75">
      <c r="A24" s="22"/>
      <c r="B24" s="24" t="s">
        <v>12</v>
      </c>
      <c r="C24" s="24" t="s">
        <v>13</v>
      </c>
      <c r="D24" s="24" t="s">
        <v>14</v>
      </c>
    </row>
    <row r="25" spans="1:16" ht="12.75">
      <c r="A25" s="117" t="s">
        <v>47</v>
      </c>
      <c r="B25" s="22" t="s">
        <v>50</v>
      </c>
      <c r="C25" s="26"/>
      <c r="D25" s="22"/>
      <c r="L25" s="25"/>
      <c r="M25" s="25"/>
      <c r="N25" s="25"/>
      <c r="O25" s="25"/>
      <c r="P25" s="25"/>
    </row>
    <row r="26" spans="1:16" ht="12.75">
      <c r="A26" s="22" t="s">
        <v>48</v>
      </c>
      <c r="B26" s="22" t="s">
        <v>49</v>
      </c>
      <c r="C26" s="26"/>
      <c r="D26" s="22"/>
      <c r="L26" s="25"/>
      <c r="M26" s="25"/>
      <c r="N26" s="25"/>
      <c r="O26" s="25"/>
      <c r="P26" s="25"/>
    </row>
    <row r="27" spans="1:16" ht="12.75">
      <c r="A27" s="22"/>
      <c r="B27" s="22"/>
      <c r="C27" s="26"/>
      <c r="D27" s="22"/>
      <c r="L27" s="25"/>
      <c r="M27" s="25"/>
      <c r="N27" s="25"/>
      <c r="O27" s="25"/>
      <c r="P27" s="25"/>
    </row>
    <row r="28" spans="1:16" ht="12.75">
      <c r="A28" s="22"/>
      <c r="B28" s="22"/>
      <c r="C28" s="26"/>
      <c r="D28" s="22"/>
      <c r="L28" s="25"/>
      <c r="M28" s="25"/>
      <c r="N28" s="25"/>
      <c r="O28" s="25"/>
      <c r="P28" s="25"/>
    </row>
    <row r="29" spans="1:16" ht="12.75">
      <c r="A29" s="22"/>
      <c r="B29" s="22"/>
      <c r="C29" s="26"/>
      <c r="D29" s="22"/>
      <c r="L29" s="25"/>
      <c r="M29" s="25"/>
      <c r="N29" s="25"/>
      <c r="O29" s="25"/>
      <c r="P29" s="25"/>
    </row>
    <row r="30" spans="1:16" ht="12.75">
      <c r="A30" s="22"/>
      <c r="B30" s="22"/>
      <c r="C30" s="26"/>
      <c r="D30" s="22"/>
      <c r="L30" s="25"/>
      <c r="M30" s="25"/>
      <c r="N30" s="25"/>
      <c r="O30" s="25"/>
      <c r="P30" s="25"/>
    </row>
    <row r="31" spans="1:16" ht="12.75">
      <c r="A31" s="22"/>
      <c r="B31" s="22"/>
      <c r="C31" s="26"/>
      <c r="D31" s="22"/>
      <c r="L31" s="25"/>
      <c r="M31" s="25"/>
      <c r="N31" s="25"/>
      <c r="O31" s="25"/>
      <c r="P31" s="25"/>
    </row>
    <row r="32" spans="1:16" ht="12.75">
      <c r="A32" s="22"/>
      <c r="B32" s="22"/>
      <c r="C32" s="26"/>
      <c r="D32" s="22"/>
      <c r="L32" s="25"/>
      <c r="M32" s="25"/>
      <c r="N32" s="25"/>
      <c r="O32" s="25"/>
      <c r="P32" s="25"/>
    </row>
    <row r="33" spans="1:16" s="28" customFormat="1" ht="12.75">
      <c r="A33" s="49"/>
      <c r="B33" s="49"/>
      <c r="C33" s="52"/>
      <c r="D33" s="49"/>
      <c r="L33" s="53"/>
      <c r="M33" s="53"/>
      <c r="N33" s="53"/>
      <c r="O33" s="53"/>
      <c r="P33" s="53"/>
    </row>
    <row r="34" spans="1:16" s="28" customFormat="1" ht="12.75">
      <c r="A34" s="49"/>
      <c r="B34" s="49"/>
      <c r="C34" s="52"/>
      <c r="D34" s="49"/>
      <c r="L34" s="53"/>
      <c r="M34" s="53"/>
      <c r="N34" s="53"/>
      <c r="O34" s="53"/>
      <c r="P34" s="53"/>
    </row>
    <row r="35" spans="1:16" s="28" customFormat="1" ht="12.75">
      <c r="A35" s="49"/>
      <c r="B35" s="49"/>
      <c r="C35" s="52"/>
      <c r="D35" s="49"/>
      <c r="L35" s="53"/>
      <c r="M35" s="53"/>
      <c r="N35" s="53"/>
      <c r="O35" s="53"/>
      <c r="P35" s="53"/>
    </row>
    <row r="36" spans="1:16" s="28" customFormat="1" ht="12.75">
      <c r="A36" s="49"/>
      <c r="B36" s="49"/>
      <c r="C36" s="52"/>
      <c r="D36" s="49"/>
      <c r="L36" s="53"/>
      <c r="M36" s="53"/>
      <c r="N36" s="53"/>
      <c r="O36" s="53"/>
      <c r="P36" s="53"/>
    </row>
    <row r="37" spans="1:15" s="28" customFormat="1" ht="12.75">
      <c r="A37" s="49"/>
      <c r="B37" s="49"/>
      <c r="C37" s="52"/>
      <c r="D37" s="49"/>
      <c r="L37" s="53"/>
      <c r="M37" s="53"/>
      <c r="N37" s="53"/>
      <c r="O37" s="53"/>
    </row>
    <row r="38" spans="1:4" s="28" customFormat="1" ht="12.75">
      <c r="A38" s="49"/>
      <c r="B38" s="49"/>
      <c r="C38" s="49"/>
      <c r="D38" s="49"/>
    </row>
    <row r="39" s="28" customFormat="1" ht="12.75">
      <c r="B39" s="49"/>
    </row>
    <row r="40" spans="2:15" s="28" customFormat="1" ht="12.75">
      <c r="B40" s="54"/>
      <c r="N40" s="53"/>
      <c r="O40" s="53"/>
    </row>
    <row r="41" ht="12.75">
      <c r="B41" s="54"/>
    </row>
    <row r="42" ht="12.75">
      <c r="B42" s="54"/>
    </row>
    <row r="43" ht="12.75">
      <c r="B43" s="54"/>
    </row>
    <row r="44" ht="12.75">
      <c r="B44" s="114"/>
    </row>
    <row r="45" ht="12.75">
      <c r="B45" s="114"/>
    </row>
    <row r="46" ht="12.75">
      <c r="B46" s="114"/>
    </row>
    <row r="47" ht="12.75">
      <c r="B47" s="114"/>
    </row>
  </sheetData>
  <printOptions/>
  <pageMargins left="0.75" right="0.75" top="1" bottom="1" header="0.5" footer="0.5"/>
  <pageSetup fitToHeight="1" fitToWidth="1" horizontalDpi="600" verticalDpi="600" orientation="landscape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B44" sqref="B44"/>
    </sheetView>
  </sheetViews>
  <sheetFormatPr defaultColWidth="9.00390625" defaultRowHeight="12.75"/>
  <cols>
    <col min="1" max="1" width="3.00390625" style="0" bestFit="1" customWidth="1"/>
    <col min="2" max="2" width="14.25390625" style="0" customWidth="1"/>
    <col min="3" max="3" width="29.00390625" style="0" customWidth="1"/>
    <col min="5" max="5" width="12.375" style="119" customWidth="1"/>
  </cols>
  <sheetData>
    <row r="2" spans="1:5" ht="12.75">
      <c r="A2" s="22">
        <v>1</v>
      </c>
      <c r="B2" s="120" t="s">
        <v>96</v>
      </c>
      <c r="C2" s="121" t="s">
        <v>97</v>
      </c>
      <c r="D2" s="122" t="s">
        <v>64</v>
      </c>
      <c r="E2" s="123">
        <v>2885.19</v>
      </c>
    </row>
    <row r="3" spans="1:5" ht="12.75">
      <c r="A3" s="22">
        <v>2</v>
      </c>
      <c r="B3" s="120" t="s">
        <v>62</v>
      </c>
      <c r="C3" s="121" t="s">
        <v>63</v>
      </c>
      <c r="D3" s="122" t="s">
        <v>64</v>
      </c>
      <c r="E3" s="123" t="s">
        <v>83</v>
      </c>
    </row>
    <row r="4" spans="1:5" ht="21">
      <c r="A4" s="22">
        <v>3</v>
      </c>
      <c r="B4" s="120" t="s">
        <v>65</v>
      </c>
      <c r="C4" s="121" t="s">
        <v>66</v>
      </c>
      <c r="D4" s="122" t="s">
        <v>67</v>
      </c>
      <c r="E4" s="123">
        <v>1825.35</v>
      </c>
    </row>
    <row r="5" spans="1:6" ht="21">
      <c r="A5" s="22">
        <v>4</v>
      </c>
      <c r="B5" s="120" t="s">
        <v>69</v>
      </c>
      <c r="C5" s="121" t="s">
        <v>84</v>
      </c>
      <c r="D5" s="122">
        <v>5</v>
      </c>
      <c r="E5" s="123">
        <v>1548.07</v>
      </c>
      <c r="F5" t="s">
        <v>70</v>
      </c>
    </row>
    <row r="6" spans="1:6" ht="12.75">
      <c r="A6" s="22">
        <v>5</v>
      </c>
      <c r="B6" s="120" t="s">
        <v>71</v>
      </c>
      <c r="C6" s="121" t="s">
        <v>85</v>
      </c>
      <c r="D6" s="122">
        <v>5</v>
      </c>
      <c r="E6" s="123">
        <v>1045.99</v>
      </c>
      <c r="F6" t="s">
        <v>70</v>
      </c>
    </row>
    <row r="7" spans="1:6" ht="21">
      <c r="A7" s="22">
        <v>6</v>
      </c>
      <c r="B7" s="120" t="s">
        <v>72</v>
      </c>
      <c r="C7" s="121" t="s">
        <v>86</v>
      </c>
      <c r="D7" s="122">
        <v>5</v>
      </c>
      <c r="E7" s="123">
        <v>6184.03</v>
      </c>
      <c r="F7" t="s">
        <v>73</v>
      </c>
    </row>
    <row r="8" spans="1:5" ht="12.75">
      <c r="A8" s="22">
        <v>7</v>
      </c>
      <c r="B8" s="120" t="s">
        <v>74</v>
      </c>
      <c r="C8" s="121" t="s">
        <v>87</v>
      </c>
      <c r="D8" s="122">
        <v>5</v>
      </c>
      <c r="E8" s="123">
        <v>12681.57</v>
      </c>
    </row>
    <row r="9" spans="1:5" ht="21">
      <c r="A9" s="22">
        <v>8</v>
      </c>
      <c r="B9" s="120" t="s">
        <v>75</v>
      </c>
      <c r="C9" s="121" t="s">
        <v>88</v>
      </c>
      <c r="D9" s="122">
        <v>7</v>
      </c>
      <c r="E9" s="123">
        <v>6380.07</v>
      </c>
    </row>
    <row r="10" spans="1:6" ht="12.75">
      <c r="A10" s="22">
        <v>9</v>
      </c>
      <c r="B10" s="120" t="s">
        <v>76</v>
      </c>
      <c r="C10" s="121" t="s">
        <v>89</v>
      </c>
      <c r="D10" s="122">
        <v>3</v>
      </c>
      <c r="E10" s="123">
        <v>651.78</v>
      </c>
      <c r="F10" t="s">
        <v>68</v>
      </c>
    </row>
    <row r="11" spans="1:6" ht="12.75">
      <c r="A11" s="22">
        <v>10</v>
      </c>
      <c r="B11" s="120" t="s">
        <v>77</v>
      </c>
      <c r="C11" s="121" t="s">
        <v>90</v>
      </c>
      <c r="D11" s="122">
        <v>28</v>
      </c>
      <c r="E11" s="123">
        <v>9366.75</v>
      </c>
      <c r="F11" t="s">
        <v>78</v>
      </c>
    </row>
    <row r="12" spans="1:5" ht="12.75">
      <c r="A12" s="22">
        <v>11</v>
      </c>
      <c r="B12" s="120" t="s">
        <v>79</v>
      </c>
      <c r="C12" s="121" t="s">
        <v>91</v>
      </c>
      <c r="D12" s="122">
        <v>5</v>
      </c>
      <c r="E12" s="123">
        <v>2454.22</v>
      </c>
    </row>
    <row r="13" spans="1:6" ht="12.75">
      <c r="A13" s="22">
        <v>12</v>
      </c>
      <c r="B13" s="120" t="s">
        <v>80</v>
      </c>
      <c r="C13" s="121" t="s">
        <v>92</v>
      </c>
      <c r="D13" s="122">
        <v>11</v>
      </c>
      <c r="E13" s="123">
        <v>12161.64</v>
      </c>
      <c r="F13" t="s">
        <v>82</v>
      </c>
    </row>
    <row r="14" spans="1:5" ht="21">
      <c r="A14" s="22">
        <v>13</v>
      </c>
      <c r="B14" s="120" t="s">
        <v>94</v>
      </c>
      <c r="C14" s="121" t="s">
        <v>95</v>
      </c>
      <c r="D14" s="122" t="s">
        <v>81</v>
      </c>
      <c r="E14" s="123">
        <v>624.88</v>
      </c>
    </row>
    <row r="15" spans="1:5" ht="12.75">
      <c r="A15" s="22">
        <v>14</v>
      </c>
      <c r="B15" s="120"/>
      <c r="C15" s="121"/>
      <c r="D15" s="122"/>
      <c r="E15" s="123"/>
    </row>
    <row r="16" spans="1:5" ht="12.75">
      <c r="A16" s="22"/>
      <c r="B16" s="22"/>
      <c r="C16" s="22"/>
      <c r="D16" s="124" t="s">
        <v>93</v>
      </c>
      <c r="E16" s="125">
        <f>SUM(E2:E14)</f>
        <v>57809.53999999999</v>
      </c>
    </row>
  </sheetData>
  <hyperlinks>
    <hyperlink ref="D3" r:id="rId1" tooltip="Статистика работы данного поставщика" display="http://www.exist.ru/stat/delivery_days.asp?rid=4440894"/>
    <hyperlink ref="D4" r:id="rId2" tooltip="Статистика работы данного поставщика" display="http://www.exist.ru/stat/delivery_days.asp?rid=4447723"/>
    <hyperlink ref="D5" r:id="rId3" tooltip="Статистика работы данного поставщика" display="http://www.exist.ru/stat/delivery_days.asp?rid=4452155"/>
    <hyperlink ref="D6" r:id="rId4" tooltip="Статистика работы данного поставщика" display="http://www.exist.ru/stat/delivery_days.asp?rid=4453629"/>
    <hyperlink ref="D7" r:id="rId5" tooltip="Статистика работы данного поставщика" display="http://www.exist.ru/stat/delivery_days.asp?rid=4461262"/>
    <hyperlink ref="D8" r:id="rId6" tooltip="Статистика работы данного поставщика" display="http://www.exist.ru/stat/delivery_days.asp?rid=4470953"/>
    <hyperlink ref="D9" r:id="rId7" tooltip="Статистика работы данного поставщика" display="http://www.exist.ru/stat/delivery_days.asp?rid=4475243"/>
    <hyperlink ref="D10" r:id="rId8" tooltip="Статистика работы данного поставщика" display="http://www.exist.ru/stat/delivery_days.asp?rid=4485073"/>
    <hyperlink ref="D11" r:id="rId9" tooltip="Статистика работы данного поставщика" display="http://www.exist.ru/stat/delivery_days.asp?rid=4489252"/>
    <hyperlink ref="D12" r:id="rId10" tooltip="Статистика работы данного поставщика" display="http://www.exist.ru/stat/delivery_days.asp?rid=4494648"/>
    <hyperlink ref="D13" r:id="rId11" tooltip="Статистика работы данного поставщика" display="http://www.exist.ru/stat/delivery_days.asp?rid=4503817"/>
    <hyperlink ref="D14" r:id="rId12" tooltip="Статистика работы данного поставщика" display="http://www.exist.ru/stat/delivery_days.asp?rid=4528277"/>
    <hyperlink ref="D2" r:id="rId13" tooltip="Статистика работы данного поставщика" display="http://www.exist.ru/stat/delivery_days.asp?rid=4541946"/>
  </hyperlinks>
  <printOptions/>
  <pageMargins left="0.75" right="0.75" top="1" bottom="1" header="0.5" footer="0.5"/>
  <pageSetup horizontalDpi="360" verticalDpi="360" orientation="portrait" paperSize="9" r:id="rId15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terranet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TV</cp:lastModifiedBy>
  <cp:lastPrinted>2003-10-23T13:02:48Z</cp:lastPrinted>
  <dcterms:created xsi:type="dcterms:W3CDTF">2001-06-15T10:33:08Z</dcterms:created>
  <dcterms:modified xsi:type="dcterms:W3CDTF">2009-09-25T18:36:38Z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